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Neil\2024-25\NDPTL\Valuation book website\Book website XLs\"/>
    </mc:Choice>
  </mc:AlternateContent>
  <xr:revisionPtr revIDLastSave="0" documentId="13_ncr:1_{8935FA08-A23E-4055-B9D0-9FCE8F506E88}" xr6:coauthVersionLast="47" xr6:coauthVersionMax="47" xr10:uidLastSave="{00000000-0000-0000-0000-000000000000}"/>
  <bookViews>
    <workbookView xWindow="-120" yWindow="-120" windowWidth="29040" windowHeight="15720" tabRatio="903" xr2:uid="{08AF0FFF-D224-46BA-A16F-F44D4B225C40}"/>
  </bookViews>
  <sheets>
    <sheet name="About" sheetId="23" r:id="rId1"/>
    <sheet name="TVB, Sec. F, Chs. 23-25" sheetId="22" r:id="rId2"/>
  </sheets>
  <definedNames>
    <definedName name="CaseBase">#REF!</definedName>
    <definedName name="CaseDown">#REF!</definedName>
    <definedName name="CaseUp">#REF!</definedName>
    <definedName name="DayCount">#REF!</definedName>
    <definedName name="DB">"WIREUK"</definedName>
    <definedName name="RdgFac">#REF!</definedName>
    <definedName name="Sales">#REF!</definedName>
    <definedName name="ScenSwitch">#REF!</definedName>
    <definedName name="StubPer">#REF!</definedName>
    <definedName name="Template.WIRE.DBAccess.CalcMode">"Async"</definedName>
    <definedName name="TV">#REF!</definedName>
    <definedName name="Wac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3" i="22" l="1"/>
  <c r="C135" i="22"/>
  <c r="E27" i="22"/>
  <c r="E24" i="22"/>
  <c r="E21" i="22"/>
  <c r="E8" i="22"/>
  <c r="F161" i="22" l="1"/>
  <c r="F160" i="22"/>
  <c r="F159" i="22"/>
  <c r="F158" i="22"/>
  <c r="F157" i="22"/>
  <c r="C41" i="22" l="1"/>
  <c r="C170" i="22"/>
  <c r="C169" i="22"/>
  <c r="C168" i="22"/>
  <c r="C167" i="22"/>
  <c r="C166" i="22"/>
  <c r="C165" i="22"/>
  <c r="C131" i="22"/>
  <c r="F2" i="22"/>
  <c r="G2" i="22" s="1"/>
  <c r="H2" i="22" s="1"/>
  <c r="I2" i="22" s="1"/>
  <c r="J2" i="22" s="1"/>
  <c r="K2" i="22" s="1"/>
  <c r="L2" i="22" s="1"/>
  <c r="M2" i="22" s="1"/>
  <c r="N2" i="22" s="1"/>
  <c r="O2" i="22" s="1"/>
  <c r="I169" i="22"/>
  <c r="I168" i="22"/>
  <c r="I167" i="22"/>
  <c r="I166" i="22"/>
  <c r="I139" i="22"/>
  <c r="K155" i="22" s="1"/>
  <c r="I156" i="22"/>
  <c r="G145" i="22"/>
  <c r="G137" i="22"/>
  <c r="F153" i="22" s="1"/>
  <c r="I147" i="22"/>
  <c r="F155" i="22" s="1"/>
  <c r="G156" i="22"/>
  <c r="K156" i="22"/>
  <c r="C129" i="22"/>
  <c r="C106" i="22"/>
  <c r="C105" i="22"/>
  <c r="C104" i="22"/>
  <c r="F99" i="22"/>
  <c r="E122" i="22"/>
  <c r="E127" i="22" s="1"/>
  <c r="H156" i="22" l="1"/>
  <c r="J156" i="22"/>
  <c r="C125" i="22"/>
  <c r="O125" i="22"/>
  <c r="C121" i="22"/>
  <c r="C116" i="22"/>
  <c r="C128" i="22" s="1"/>
  <c r="C115" i="22"/>
  <c r="C97" i="22"/>
  <c r="C122" i="22" s="1"/>
  <c r="E97" i="22"/>
  <c r="G54" i="22"/>
  <c r="G55" i="22"/>
  <c r="G56" i="22"/>
  <c r="G57" i="22"/>
  <c r="G58" i="22"/>
  <c r="G59" i="22"/>
  <c r="G53" i="22"/>
  <c r="E90" i="22"/>
  <c r="E81" i="22"/>
  <c r="E75" i="22"/>
  <c r="E71" i="22"/>
  <c r="E32" i="22"/>
  <c r="E31" i="22" s="1"/>
  <c r="E13" i="22"/>
  <c r="E11" i="22"/>
  <c r="E10" i="22"/>
  <c r="C90" i="22"/>
  <c r="C89" i="22"/>
  <c r="C75" i="22"/>
  <c r="C32" i="22"/>
  <c r="E78" i="22" l="1"/>
  <c r="E73" i="22"/>
  <c r="E14" i="22"/>
  <c r="E104" i="22"/>
  <c r="E105" i="22"/>
  <c r="E106" i="22"/>
  <c r="E19" i="22"/>
  <c r="E22" i="22"/>
  <c r="E25" i="22"/>
  <c r="E33" i="22"/>
  <c r="C127" i="22"/>
  <c r="E17" i="22" l="1"/>
  <c r="E115" i="22" s="1"/>
  <c r="E82" i="22"/>
  <c r="C43" i="22" s="1"/>
  <c r="E107" i="22"/>
  <c r="E109" i="22" s="1"/>
  <c r="E111" i="22" s="1"/>
  <c r="E16" i="22"/>
  <c r="E121" i="22"/>
  <c r="E123" i="22" s="1"/>
  <c r="E28" i="22"/>
  <c r="F43" i="22" l="1"/>
  <c r="E89" i="22"/>
  <c r="G43" i="22"/>
  <c r="E116" i="22"/>
  <c r="E117" i="22" s="1"/>
  <c r="E125" i="22"/>
  <c r="E35" i="22"/>
  <c r="H43" i="22"/>
  <c r="E128" i="22" l="1"/>
  <c r="E129" i="22" s="1"/>
  <c r="E131" i="22" s="1"/>
  <c r="E133" i="22" s="1"/>
  <c r="E37" i="22"/>
  <c r="I43" i="22"/>
  <c r="J43" i="22" l="1"/>
  <c r="K43" i="22" l="1"/>
  <c r="L43" i="22" l="1"/>
  <c r="M43" i="22" l="1"/>
  <c r="N43" i="22" l="1"/>
  <c r="F31" i="22" l="1"/>
  <c r="F8" i="22"/>
  <c r="F27" i="22"/>
  <c r="F24" i="22"/>
  <c r="F21" i="22"/>
  <c r="F10" i="22"/>
  <c r="F13" i="22"/>
  <c r="O43" i="22"/>
  <c r="F16" i="22"/>
  <c r="G13" i="22" l="1"/>
  <c r="G10" i="22"/>
  <c r="G21" i="22"/>
  <c r="G16" i="22"/>
  <c r="F125" i="22"/>
  <c r="G27" i="22"/>
  <c r="G8" i="22"/>
  <c r="F7" i="22"/>
  <c r="G24" i="22"/>
  <c r="G31" i="22"/>
  <c r="F23" i="22" l="1"/>
  <c r="H8" i="22"/>
  <c r="H10" i="22"/>
  <c r="H13" i="22"/>
  <c r="H27" i="22"/>
  <c r="H24" i="22"/>
  <c r="H21" i="22"/>
  <c r="H31" i="22"/>
  <c r="H16" i="22"/>
  <c r="G125" i="22"/>
  <c r="G7" i="22"/>
  <c r="F9" i="22"/>
  <c r="F97" i="22"/>
  <c r="F12" i="22"/>
  <c r="F122" i="22"/>
  <c r="F127" i="22" s="1"/>
  <c r="F105" i="22" l="1"/>
  <c r="I10" i="22"/>
  <c r="F22" i="22"/>
  <c r="F11" i="22"/>
  <c r="I13" i="22"/>
  <c r="F101" i="22"/>
  <c r="I8" i="22"/>
  <c r="I16" i="22"/>
  <c r="H125" i="22"/>
  <c r="I24" i="22"/>
  <c r="I31" i="22"/>
  <c r="F26" i="22"/>
  <c r="F20" i="22"/>
  <c r="I21" i="22"/>
  <c r="I27" i="22"/>
  <c r="F32" i="22"/>
  <c r="F30" i="22"/>
  <c r="G122" i="22"/>
  <c r="G127" i="22" s="1"/>
  <c r="G97" i="22"/>
  <c r="G12" i="22"/>
  <c r="G9" i="22"/>
  <c r="H7" i="22"/>
  <c r="G23" i="22"/>
  <c r="F14" i="22" l="1"/>
  <c r="J13" i="22"/>
  <c r="F104" i="22"/>
  <c r="J8" i="22"/>
  <c r="H23" i="22"/>
  <c r="J10" i="22"/>
  <c r="F100" i="22"/>
  <c r="F102" i="22" s="1"/>
  <c r="G99" i="22" s="1"/>
  <c r="G105" i="22"/>
  <c r="G101" i="22"/>
  <c r="F106" i="22"/>
  <c r="J31" i="22"/>
  <c r="G30" i="22"/>
  <c r="G32" i="22"/>
  <c r="J24" i="22"/>
  <c r="G22" i="22"/>
  <c r="F33" i="22"/>
  <c r="F19" i="22"/>
  <c r="J27" i="22"/>
  <c r="J21" i="22"/>
  <c r="F25" i="22"/>
  <c r="H122" i="22"/>
  <c r="H127" i="22" s="1"/>
  <c r="I7" i="22"/>
  <c r="H97" i="22"/>
  <c r="H9" i="22"/>
  <c r="H12" i="22"/>
  <c r="G11" i="22"/>
  <c r="G20" i="22"/>
  <c r="G26" i="22"/>
  <c r="J16" i="22"/>
  <c r="I125" i="22"/>
  <c r="H22" i="22" l="1"/>
  <c r="F15" i="22"/>
  <c r="F121" i="22"/>
  <c r="F123" i="22" s="1"/>
  <c r="F107" i="22"/>
  <c r="F109" i="22" s="1"/>
  <c r="K10" i="22"/>
  <c r="G106" i="22"/>
  <c r="K13" i="22"/>
  <c r="G104" i="22"/>
  <c r="H105" i="22"/>
  <c r="G14" i="22"/>
  <c r="G100" i="22"/>
  <c r="G102" i="22" s="1"/>
  <c r="H101" i="22"/>
  <c r="K8" i="22"/>
  <c r="I23" i="22"/>
  <c r="H30" i="22"/>
  <c r="H32" i="22"/>
  <c r="K16" i="22"/>
  <c r="J125" i="22"/>
  <c r="K21" i="22"/>
  <c r="K27" i="22"/>
  <c r="G33" i="22"/>
  <c r="F28" i="22"/>
  <c r="K24" i="22"/>
  <c r="H11" i="22"/>
  <c r="H26" i="22"/>
  <c r="H20" i="22"/>
  <c r="I9" i="22"/>
  <c r="I12" i="22"/>
  <c r="I122" i="22"/>
  <c r="I127" i="22" s="1"/>
  <c r="J7" i="22"/>
  <c r="I97" i="22"/>
  <c r="G25" i="22"/>
  <c r="G19" i="22"/>
  <c r="K31" i="22"/>
  <c r="F17" i="22" l="1"/>
  <c r="G121" i="22"/>
  <c r="G123" i="22" s="1"/>
  <c r="G15" i="22"/>
  <c r="G107" i="22"/>
  <c r="G109" i="22" s="1"/>
  <c r="H14" i="22"/>
  <c r="L13" i="22"/>
  <c r="I105" i="22"/>
  <c r="I101" i="22"/>
  <c r="H100" i="22"/>
  <c r="L8" i="22"/>
  <c r="H104" i="22"/>
  <c r="J23" i="22"/>
  <c r="I22" i="22"/>
  <c r="H106" i="22"/>
  <c r="L10" i="22"/>
  <c r="H99" i="22"/>
  <c r="I30" i="22"/>
  <c r="I32" i="22"/>
  <c r="L27" i="22"/>
  <c r="L16" i="22"/>
  <c r="K125" i="22"/>
  <c r="I11" i="22"/>
  <c r="I26" i="22"/>
  <c r="I20" i="22"/>
  <c r="L24" i="22"/>
  <c r="H25" i="22"/>
  <c r="F35" i="22"/>
  <c r="L31" i="22"/>
  <c r="L21" i="22"/>
  <c r="J9" i="22"/>
  <c r="J12" i="22"/>
  <c r="J122" i="22"/>
  <c r="J127" i="22" s="1"/>
  <c r="K7" i="22"/>
  <c r="J97" i="22"/>
  <c r="H19" i="22"/>
  <c r="G28" i="22"/>
  <c r="F116" i="22"/>
  <c r="F111" i="22"/>
  <c r="H33" i="22"/>
  <c r="F115" i="22" l="1"/>
  <c r="F117" i="22" s="1"/>
  <c r="G17" i="22"/>
  <c r="J22" i="22"/>
  <c r="H121" i="22"/>
  <c r="H123" i="22" s="1"/>
  <c r="H107" i="22"/>
  <c r="H15" i="22"/>
  <c r="J101" i="22"/>
  <c r="J11" i="22"/>
  <c r="I100" i="22"/>
  <c r="J105" i="22"/>
  <c r="I106" i="22"/>
  <c r="I14" i="22"/>
  <c r="K23" i="22"/>
  <c r="M10" i="22"/>
  <c r="M13" i="22"/>
  <c r="H102" i="22"/>
  <c r="I99" i="22" s="1"/>
  <c r="M8" i="22"/>
  <c r="I19" i="22"/>
  <c r="I104" i="22"/>
  <c r="I25" i="22"/>
  <c r="M31" i="22"/>
  <c r="M24" i="22"/>
  <c r="I33" i="22"/>
  <c r="J32" i="22"/>
  <c r="J30" i="22"/>
  <c r="G116" i="22"/>
  <c r="G128" i="22" s="1"/>
  <c r="G129" i="22" s="1"/>
  <c r="G131" i="22" s="1"/>
  <c r="G111" i="22"/>
  <c r="F37" i="22"/>
  <c r="G35" i="22"/>
  <c r="M16" i="22"/>
  <c r="L125" i="22"/>
  <c r="M27" i="22"/>
  <c r="J20" i="22"/>
  <c r="J26" i="22"/>
  <c r="H28" i="22"/>
  <c r="M21" i="22"/>
  <c r="F128" i="22"/>
  <c r="F129" i="22" s="1"/>
  <c r="F131" i="22" s="1"/>
  <c r="K9" i="22"/>
  <c r="K12" i="22"/>
  <c r="K122" i="22"/>
  <c r="K127" i="22" s="1"/>
  <c r="L7" i="22"/>
  <c r="K97" i="22"/>
  <c r="G115" i="22" l="1"/>
  <c r="G117" i="22" s="1"/>
  <c r="G133" i="22" s="1"/>
  <c r="K22" i="22"/>
  <c r="J14" i="22"/>
  <c r="H17" i="22"/>
  <c r="I102" i="22"/>
  <c r="I107" i="22"/>
  <c r="K105" i="22"/>
  <c r="I121" i="22"/>
  <c r="I123" i="22" s="1"/>
  <c r="J106" i="22"/>
  <c r="K101" i="22"/>
  <c r="H109" i="22"/>
  <c r="H111" i="22" s="1"/>
  <c r="J100" i="22"/>
  <c r="N13" i="22"/>
  <c r="I15" i="22"/>
  <c r="N10" i="22"/>
  <c r="N8" i="22"/>
  <c r="J19" i="22"/>
  <c r="J104" i="22"/>
  <c r="I28" i="22"/>
  <c r="J33" i="22"/>
  <c r="N27" i="22"/>
  <c r="M7" i="22"/>
  <c r="L122" i="22"/>
  <c r="L127" i="22" s="1"/>
  <c r="L97" i="22"/>
  <c r="L9" i="22"/>
  <c r="L12" i="22"/>
  <c r="N21" i="22"/>
  <c r="K32" i="22"/>
  <c r="K30" i="22"/>
  <c r="H35" i="22"/>
  <c r="L23" i="22"/>
  <c r="K20" i="22"/>
  <c r="K26" i="22"/>
  <c r="J25" i="22"/>
  <c r="F133" i="22"/>
  <c r="G37" i="22"/>
  <c r="N24" i="22"/>
  <c r="N16" i="22"/>
  <c r="M125" i="22"/>
  <c r="K11" i="22"/>
  <c r="N31" i="22"/>
  <c r="J15" i="22" l="1"/>
  <c r="H115" i="22"/>
  <c r="J121" i="22"/>
  <c r="J123" i="22" s="1"/>
  <c r="I109" i="22"/>
  <c r="I111" i="22" s="1"/>
  <c r="J99" i="22"/>
  <c r="J102" i="22" s="1"/>
  <c r="K99" i="22" s="1"/>
  <c r="J107" i="22"/>
  <c r="H116" i="22"/>
  <c r="H128" i="22" s="1"/>
  <c r="H129" i="22" s="1"/>
  <c r="H131" i="22" s="1"/>
  <c r="L105" i="22"/>
  <c r="L101" i="22"/>
  <c r="I17" i="22"/>
  <c r="K100" i="22"/>
  <c r="K14" i="22"/>
  <c r="K106" i="22"/>
  <c r="N125" i="22"/>
  <c r="M23" i="22"/>
  <c r="K19" i="22"/>
  <c r="K104" i="22"/>
  <c r="I35" i="22"/>
  <c r="J28" i="22"/>
  <c r="L32" i="22"/>
  <c r="L30" i="22"/>
  <c r="L11" i="22"/>
  <c r="L26" i="22"/>
  <c r="L20" i="22"/>
  <c r="H37" i="22"/>
  <c r="M122" i="22"/>
  <c r="M127" i="22" s="1"/>
  <c r="M12" i="22"/>
  <c r="M97" i="22"/>
  <c r="N7" i="22"/>
  <c r="M9" i="22"/>
  <c r="K33" i="22"/>
  <c r="L22" i="22"/>
  <c r="K25" i="22"/>
  <c r="J17" i="22" l="1"/>
  <c r="K107" i="22"/>
  <c r="I116" i="22"/>
  <c r="I128" i="22" s="1"/>
  <c r="I129" i="22" s="1"/>
  <c r="I131" i="22" s="1"/>
  <c r="H117" i="22"/>
  <c r="H133" i="22" s="1"/>
  <c r="K102" i="22"/>
  <c r="K121" i="22"/>
  <c r="K123" i="22" s="1"/>
  <c r="J109" i="22"/>
  <c r="J116" i="22" s="1"/>
  <c r="M105" i="22"/>
  <c r="M101" i="22"/>
  <c r="L100" i="22"/>
  <c r="M11" i="22"/>
  <c r="K15" i="22"/>
  <c r="I37" i="22"/>
  <c r="L104" i="22"/>
  <c r="M22" i="22"/>
  <c r="L106" i="22"/>
  <c r="L14" i="22"/>
  <c r="I115" i="22"/>
  <c r="K28" i="22"/>
  <c r="J35" i="22"/>
  <c r="M20" i="22"/>
  <c r="M26" i="22"/>
  <c r="L33" i="22"/>
  <c r="L25" i="22"/>
  <c r="N97" i="22"/>
  <c r="N122" i="22"/>
  <c r="N127" i="22" s="1"/>
  <c r="O7" i="22"/>
  <c r="N12" i="22"/>
  <c r="N9" i="22"/>
  <c r="N23" i="22"/>
  <c r="L19" i="22"/>
  <c r="M32" i="22"/>
  <c r="M30" i="22"/>
  <c r="J115" i="22" l="1"/>
  <c r="J117" i="22" s="1"/>
  <c r="M14" i="22"/>
  <c r="K109" i="22"/>
  <c r="K116" i="22" s="1"/>
  <c r="K128" i="22" s="1"/>
  <c r="K129" i="22" s="1"/>
  <c r="K131" i="22" s="1"/>
  <c r="L107" i="22"/>
  <c r="J111" i="22"/>
  <c r="I117" i="22"/>
  <c r="I133" i="22" s="1"/>
  <c r="L99" i="22"/>
  <c r="L102" i="22" s="1"/>
  <c r="L121" i="22"/>
  <c r="L123" i="22" s="1"/>
  <c r="M100" i="22"/>
  <c r="K17" i="22"/>
  <c r="N101" i="22"/>
  <c r="N105" i="22"/>
  <c r="J37" i="22"/>
  <c r="L15" i="22"/>
  <c r="M106" i="22"/>
  <c r="M19" i="22"/>
  <c r="M104" i="22"/>
  <c r="K35" i="22"/>
  <c r="J128" i="22"/>
  <c r="J129" i="22" s="1"/>
  <c r="J131" i="22" s="1"/>
  <c r="M25" i="22"/>
  <c r="N32" i="22"/>
  <c r="N30" i="22"/>
  <c r="L28" i="22"/>
  <c r="O9" i="22"/>
  <c r="O122" i="22"/>
  <c r="O127" i="22" s="1"/>
  <c r="O23" i="22"/>
  <c r="O97" i="22"/>
  <c r="O12" i="22"/>
  <c r="M33" i="22"/>
  <c r="N22" i="22"/>
  <c r="N11" i="22"/>
  <c r="N20" i="22"/>
  <c r="N26" i="22"/>
  <c r="M121" i="22" l="1"/>
  <c r="M123" i="22" s="1"/>
  <c r="M15" i="22"/>
  <c r="K111" i="22"/>
  <c r="M107" i="22"/>
  <c r="L109" i="22"/>
  <c r="L116" i="22" s="1"/>
  <c r="L128" i="22" s="1"/>
  <c r="L129" i="22" s="1"/>
  <c r="L131" i="22" s="1"/>
  <c r="N14" i="22"/>
  <c r="L17" i="22"/>
  <c r="K115" i="22"/>
  <c r="K117" i="22" s="1"/>
  <c r="K133" i="22" s="1"/>
  <c r="O101" i="22"/>
  <c r="M99" i="22"/>
  <c r="M102" i="22" s="1"/>
  <c r="N99" i="22" s="1"/>
  <c r="K37" i="22"/>
  <c r="N106" i="22"/>
  <c r="O11" i="22"/>
  <c r="N100" i="22"/>
  <c r="N19" i="22"/>
  <c r="N104" i="22"/>
  <c r="O105" i="22"/>
  <c r="J133" i="22"/>
  <c r="O22" i="22"/>
  <c r="L35" i="22"/>
  <c r="N33" i="22"/>
  <c r="O20" i="22"/>
  <c r="O26" i="22"/>
  <c r="N25" i="22"/>
  <c r="O30" i="22"/>
  <c r="O32" i="22"/>
  <c r="M28" i="22"/>
  <c r="M17" i="22" l="1"/>
  <c r="N15" i="22"/>
  <c r="L111" i="22"/>
  <c r="N121" i="22"/>
  <c r="N123" i="22" s="1"/>
  <c r="N102" i="22"/>
  <c r="O99" i="22" s="1"/>
  <c r="M109" i="22"/>
  <c r="M116" i="22" s="1"/>
  <c r="O14" i="22"/>
  <c r="N107" i="22"/>
  <c r="O106" i="22"/>
  <c r="O100" i="22"/>
  <c r="L115" i="22"/>
  <c r="L117" i="22" s="1"/>
  <c r="L133" i="22" s="1"/>
  <c r="O19" i="22"/>
  <c r="O104" i="22"/>
  <c r="O25" i="22"/>
  <c r="M35" i="22"/>
  <c r="L37" i="22"/>
  <c r="N28" i="22"/>
  <c r="O33" i="22"/>
  <c r="M115" i="22" l="1"/>
  <c r="M117" i="22" s="1"/>
  <c r="O121" i="22"/>
  <c r="O123" i="22" s="1"/>
  <c r="N17" i="22"/>
  <c r="M111" i="22"/>
  <c r="O15" i="22"/>
  <c r="N109" i="22"/>
  <c r="N116" i="22" s="1"/>
  <c r="N128" i="22" s="1"/>
  <c r="N129" i="22" s="1"/>
  <c r="N131" i="22" s="1"/>
  <c r="O102" i="22"/>
  <c r="O107" i="22"/>
  <c r="M37" i="22"/>
  <c r="N35" i="22"/>
  <c r="M128" i="22"/>
  <c r="M129" i="22" s="1"/>
  <c r="M131" i="22" s="1"/>
  <c r="O28" i="22"/>
  <c r="N115" i="22" l="1"/>
  <c r="N117" i="22" s="1"/>
  <c r="N133" i="22" s="1"/>
  <c r="N111" i="22"/>
  <c r="O17" i="22"/>
  <c r="O109" i="22"/>
  <c r="O111" i="22" s="1"/>
  <c r="M133" i="22"/>
  <c r="N37" i="22"/>
  <c r="O35" i="22"/>
  <c r="O115" i="22" l="1"/>
  <c r="O116" i="22"/>
  <c r="O128" i="22" s="1"/>
  <c r="O129" i="22" s="1"/>
  <c r="O131" i="22" s="1"/>
  <c r="O37" i="22"/>
  <c r="O117" i="22" l="1"/>
  <c r="O133" i="22" s="1"/>
  <c r="E45" i="22"/>
  <c r="E86" i="22"/>
  <c r="E88" i="22" l="1"/>
  <c r="E91" i="22" l="1"/>
  <c r="O41" i="22" s="1"/>
  <c r="E46" i="22" l="1"/>
  <c r="E47" i="22" l="1"/>
  <c r="I165" i="22" l="1"/>
  <c r="H165" i="22" s="1"/>
  <c r="E166" i="22" s="1"/>
  <c r="H166" i="22" s="1"/>
  <c r="E167" i="22" s="1"/>
  <c r="H167" i="22" s="1"/>
  <c r="E168" i="22" s="1"/>
  <c r="H168" i="22" s="1"/>
  <c r="E169" i="22" s="1"/>
  <c r="H169" i="22" s="1"/>
  <c r="F45" i="22"/>
  <c r="F46" i="22"/>
  <c r="E61" i="22"/>
  <c r="E65" i="22" l="1"/>
  <c r="I170" i="22"/>
  <c r="H170" i="22" s="1"/>
  <c r="F156" i="22" l="1"/>
  <c r="F149" i="22"/>
  <c r="F14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Neil Pande</author>
  </authors>
  <commentList>
    <comment ref="F8" authorId="0" shapeId="0" xr:uid="{091083CE-A8B5-481A-B82F-5F7C55F2736A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F10" authorId="0" shapeId="0" xr:uid="{F6493CAB-75D8-4D9D-A520-A91C55700DDE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F13" authorId="0" shapeId="0" xr:uid="{9AC4A9E3-C5B7-414C-994C-5D27F1394869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F16" authorId="0" shapeId="0" xr:uid="{8D2C5B8A-EE78-4975-BBA6-DE25734E8743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F21" authorId="0" shapeId="0" xr:uid="{70D9E833-856B-4549-9E19-725436A80F9A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F24" authorId="0" shapeId="0" xr:uid="{CF3E3C55-AF6E-42EE-A309-72871A3677A9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F27" authorId="0" shapeId="0" xr:uid="{DA047F78-0894-4515-9128-C449527785B0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E31" authorId="0" shapeId="0" xr:uid="{E5EA5FB1-DC99-4B05-95D9-36432B459CAF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This calculation does </t>
        </r>
        <r>
          <rPr>
            <b/>
            <sz val="9"/>
            <color indexed="81"/>
            <rFont val="Tahoma"/>
            <family val="2"/>
          </rPr>
          <t>not</t>
        </r>
        <r>
          <rPr>
            <sz val="9"/>
            <color indexed="81"/>
            <rFont val="Tahoma"/>
            <family val="2"/>
          </rPr>
          <t xml:space="preserve"> need to be rounded down!
I have done so here simply to ensure that the numbers in this model agree with the numbers in the published book!</t>
        </r>
      </text>
    </comment>
    <comment ref="F31" authorId="0" shapeId="0" xr:uid="{4B6E15C3-FB2E-4362-AF06-ACCB8079812D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Feel free to overwrite the simple linear trending formula in this and subsequent cells!</t>
        </r>
      </text>
    </comment>
    <comment ref="C135" authorId="0" shapeId="0" xr:uid="{B0626ACA-0817-4659-A1E9-1E75E9749AE2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Press "F9" to recalculate</t>
        </r>
      </text>
    </comment>
    <comment ref="C143" authorId="0" shapeId="0" xr:uid="{8D9EEE57-67A2-4F6D-995A-318F4DA46B86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Press "F9" to recalculate</t>
        </r>
      </text>
    </comment>
    <comment ref="C151" authorId="0" shapeId="0" xr:uid="{F236A036-9E60-4280-BDF3-D4141192AC77}">
      <text>
        <r>
          <rPr>
            <b/>
            <sz val="9"/>
            <color indexed="81"/>
            <rFont val="Tahoma"/>
            <family val="2"/>
          </rPr>
          <t>Neil Pande:</t>
        </r>
        <r>
          <rPr>
            <sz val="9"/>
            <color indexed="81"/>
            <rFont val="Tahoma"/>
            <family val="2"/>
          </rPr>
          <t xml:space="preserve">
Press "F9" to recalculate</t>
        </r>
      </text>
    </comment>
  </commentList>
</comments>
</file>

<file path=xl/sharedStrings.xml><?xml version="1.0" encoding="utf-8"?>
<sst xmlns="http://schemas.openxmlformats.org/spreadsheetml/2006/main" count="105" uniqueCount="93">
  <si>
    <t>Sales</t>
  </si>
  <si>
    <t>Non-controlling interests</t>
  </si>
  <si>
    <t>EBITDA</t>
  </si>
  <si>
    <t>EBIT</t>
  </si>
  <si>
    <t>Check</t>
  </si>
  <si>
    <t>Inventories</t>
  </si>
  <si>
    <t>Capex</t>
  </si>
  <si>
    <t>Debt</t>
  </si>
  <si>
    <t>NOWC</t>
  </si>
  <si>
    <t>NOPAT</t>
  </si>
  <si>
    <t>EBIT margins</t>
  </si>
  <si>
    <t>Risk-free rate</t>
  </si>
  <si>
    <t>Cost of debt (pre-tax)</t>
  </si>
  <si>
    <t>Cost of debt (post-tax)</t>
  </si>
  <si>
    <t>Equity value</t>
  </si>
  <si>
    <t xml:space="preserve">Sales growth rates </t>
  </si>
  <si>
    <t xml:space="preserve">Cash operating expense margins </t>
  </si>
  <si>
    <t xml:space="preserve">Depreciation and amortisation expenses </t>
  </si>
  <si>
    <t>D&amp;A as a % of Sales</t>
  </si>
  <si>
    <t xml:space="preserve">Tax on operations </t>
  </si>
  <si>
    <t>Effective tax rates (ETRs) on EBIT</t>
  </si>
  <si>
    <t>Cash operating expenses (CoGS and SG&amp;A)</t>
  </si>
  <si>
    <t>Net investment in NOWC</t>
  </si>
  <si>
    <t>Inventory days</t>
  </si>
  <si>
    <t>Receivables days</t>
  </si>
  <si>
    <t>Payables days</t>
  </si>
  <si>
    <t>Capex-to-D&amp;A mutliples</t>
  </si>
  <si>
    <t>Net investment in non-current assets</t>
  </si>
  <si>
    <t>Net reinvestment of NOPAT</t>
  </si>
  <si>
    <t>Free cash flow to firm</t>
  </si>
  <si>
    <t>Free cash flow to firm forecasts</t>
  </si>
  <si>
    <t>Present value of visible period</t>
  </si>
  <si>
    <t>Present value of terminal period</t>
  </si>
  <si>
    <t>Enterprise value</t>
  </si>
  <si>
    <t>Cash &amp; cash equivalents</t>
  </si>
  <si>
    <t>Number of outstanding shares (m)</t>
  </si>
  <si>
    <t>Implied share price (USD)</t>
  </si>
  <si>
    <t xml:space="preserve">Credit risk premium </t>
  </si>
  <si>
    <t xml:space="preserve">Marginal tax rate </t>
  </si>
  <si>
    <t xml:space="preserve">Equity risk premium </t>
  </si>
  <si>
    <t xml:space="preserve">Adjusted beta </t>
  </si>
  <si>
    <t xml:space="preserve">Cost of equity </t>
  </si>
  <si>
    <t xml:space="preserve">Weighted average cost of capital calculation </t>
  </si>
  <si>
    <t>Weighted average cost of capital</t>
  </si>
  <si>
    <t xml:space="preserve">Terminal value calculation </t>
  </si>
  <si>
    <t xml:space="preserve">Terminal growth rate </t>
  </si>
  <si>
    <t xml:space="preserve">Terminal value as at Time 10 </t>
  </si>
  <si>
    <t xml:space="preserve">Receivables </t>
  </si>
  <si>
    <t xml:space="preserve">Payables </t>
  </si>
  <si>
    <t>Example Corp in USDm (unless stated)</t>
  </si>
  <si>
    <t>Asset (or capital) turnover</t>
  </si>
  <si>
    <t>Add: capex</t>
  </si>
  <si>
    <t>Less: D&amp;A expenses</t>
  </si>
  <si>
    <t>Forecast</t>
  </si>
  <si>
    <t>Non-operating assets</t>
  </si>
  <si>
    <t>Opening non-current assets</t>
  </si>
  <si>
    <t>Closing non-current assets</t>
  </si>
  <si>
    <t>Return on Invested Capital (RoIC)</t>
  </si>
  <si>
    <t>Net Operating Assets (or Invested Capital)</t>
  </si>
  <si>
    <t>Enterprise to equity value bridge</t>
  </si>
  <si>
    <t>Historical</t>
  </si>
  <si>
    <t>Disclaimer</t>
  </si>
  <si>
    <t>Instructions</t>
  </si>
  <si>
    <t>Start</t>
  </si>
  <si>
    <t>End</t>
  </si>
  <si>
    <t>Values</t>
  </si>
  <si>
    <t>DuPont analysis</t>
  </si>
  <si>
    <t>Neil Pande</t>
  </si>
  <si>
    <t>For educational purposes only</t>
  </si>
  <si>
    <t>Inputs in blue font - replace to perform own valuation</t>
  </si>
  <si>
    <t>Year (1)</t>
  </si>
  <si>
    <t>WACC and growth - sensitivity</t>
  </si>
  <si>
    <t>(Incr)/decr in inventories</t>
  </si>
  <si>
    <t>(Incr)/decr in receivables</t>
  </si>
  <si>
    <t>Incr/(decr) in payables</t>
  </si>
  <si>
    <t>Add: financial/non-operating assets</t>
  </si>
  <si>
    <t>Less: financial/non-operating liabilities</t>
  </si>
  <si>
    <t>Debt/Enterprise value</t>
  </si>
  <si>
    <t>Equity/Enterprise value</t>
  </si>
  <si>
    <t>Free cash flow to firm – Year 10</t>
  </si>
  <si>
    <t>Free cash flow to firm – Year 11</t>
  </si>
  <si>
    <t>Prepared by</t>
  </si>
  <si>
    <t>Not intended for any other use</t>
  </si>
  <si>
    <t>For use with The Valuation Book</t>
  </si>
  <si>
    <t>Section F: Present Value Models: the Dividend Discount and Free Cash Flow Models</t>
  </si>
  <si>
    <t>Chapter 23: Free cash flow to the firm (FCFF) - talk through</t>
  </si>
  <si>
    <t>Chapter 24: Free cash flow to the firm (FCFF) - walk through</t>
  </si>
  <si>
    <t>Chapter 25: Free cash flow to the firm (FCFF) - food for thought</t>
  </si>
  <si>
    <t>Workings / Outputs in black font - change to amend (or break!) working of model</t>
  </si>
  <si>
    <t>Free cash flow to firm model</t>
  </si>
  <si>
    <t>Free cash flow to firm - food for thought</t>
  </si>
  <si>
    <t>Enterprise value calculation</t>
  </si>
  <si>
    <t>EV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</si>
</sst>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164" formatCode="#,##0_);\(#,##0\);\-\-_)"/>
    <numFmt numFmtId="165" formatCode="0.00%_);\(0.00%\)"/>
    <numFmt numFmtId="166" formatCode="0\ &quot;days&quot;_);\(0\ &quot;days&quot;\)"/>
    <numFmt numFmtId="167" formatCode="0\ &quot;years&quot;_);\(0\ &quot;years&quot;\)"/>
    <numFmt numFmtId="168" formatCode="0.00\x;&quot;nm&quot;_x"/>
    <numFmt numFmtId="169" formatCode="0.00_);\(0.00\)"/>
    <numFmt numFmtId="170" formatCode="#,##0.0_);\(#,##0.0\);\-\-_)"/>
    <numFmt numFmtId="171" formatCode="0.0%_);\(0.0%\)"/>
    <numFmt numFmtId="172" formatCode="#,##0.00_);\(#,##0.00\);\-\-_)"/>
    <numFmt numFmtId="173" formatCode="0.0_);\(0.0\)"/>
    <numFmt numFmtId="174" formatCode="0%_);\(0%\)"/>
    <numFmt numFmtId="175" formatCode="&quot;Year &quot;0"/>
  </numFmts>
  <fonts count="30" x14ac:knownFonts="1">
    <font>
      <sz val="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24"/>
      <color rgb="FF006100"/>
      <name val="Calibri"/>
      <family val="2"/>
      <scheme val="minor"/>
    </font>
    <font>
      <sz val="24"/>
      <color rgb="FF9C0006"/>
      <name val="Calibri"/>
      <family val="2"/>
      <scheme val="minor"/>
    </font>
    <font>
      <sz val="24"/>
      <color rgb="FF9C57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4"/>
      <color rgb="FF3F3F76"/>
      <name val="Calibri"/>
      <family val="2"/>
      <scheme val="minor"/>
    </font>
    <font>
      <b/>
      <sz val="24"/>
      <color rgb="FF3F3F3F"/>
      <name val="Calibri"/>
      <family val="2"/>
      <scheme val="minor"/>
    </font>
    <font>
      <b/>
      <sz val="24"/>
      <color rgb="FFFA7D00"/>
      <name val="Calibri"/>
      <family val="2"/>
      <scheme val="minor"/>
    </font>
    <font>
      <sz val="24"/>
      <color rgb="FFFA7D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rgb="FFFF0000"/>
      <name val="Calibri"/>
      <family val="2"/>
      <scheme val="minor"/>
    </font>
    <font>
      <i/>
      <sz val="24"/>
      <color rgb="FF7F7F7F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164" fontId="0" fillId="0" borderId="0"/>
    <xf numFmtId="165" fontId="2" fillId="0" borderId="0" applyFont="0" applyFill="0" applyBorder="0" applyAlignment="0" applyProtection="0"/>
    <xf numFmtId="164" fontId="3" fillId="0" borderId="1" applyNumberFormat="0" applyFill="0" applyAlignment="0" applyProtection="0"/>
    <xf numFmtId="164" fontId="3" fillId="0" borderId="2" applyNumberFormat="0" applyFill="0" applyAlignment="0" applyProtection="0"/>
    <xf numFmtId="166" fontId="2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6" applyNumberFormat="0" applyAlignment="0" applyProtection="0"/>
    <xf numFmtId="0" fontId="14" fillId="7" borderId="7" applyNumberFormat="0" applyAlignment="0" applyProtection="0"/>
    <xf numFmtId="0" fontId="15" fillId="7" borderId="6" applyNumberFormat="0" applyAlignment="0" applyProtection="0"/>
    <xf numFmtId="0" fontId="16" fillId="0" borderId="8" applyNumberFormat="0" applyFill="0" applyAlignment="0" applyProtection="0"/>
    <xf numFmtId="0" fontId="17" fillId="8" borderId="9" applyNumberFormat="0" applyAlignment="0" applyProtection="0"/>
    <xf numFmtId="0" fontId="18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5" fontId="3" fillId="0" borderId="0"/>
  </cellStyleXfs>
  <cellXfs count="87">
    <xf numFmtId="164" fontId="0" fillId="0" borderId="0" xfId="0"/>
    <xf numFmtId="170" fontId="4" fillId="2" borderId="0" xfId="0" applyNumberFormat="1" applyFont="1" applyFill="1"/>
    <xf numFmtId="170" fontId="0" fillId="2" borderId="0" xfId="0" applyNumberFormat="1" applyFill="1"/>
    <xf numFmtId="164" fontId="0" fillId="2" borderId="0" xfId="0" applyFill="1"/>
    <xf numFmtId="164" fontId="5" fillId="0" borderId="0" xfId="0" applyFont="1"/>
    <xf numFmtId="164" fontId="3" fillId="0" borderId="1" xfId="2"/>
    <xf numFmtId="164" fontId="3" fillId="0" borderId="2" xfId="3"/>
    <xf numFmtId="165" fontId="0" fillId="0" borderId="0" xfId="1" applyFont="1"/>
    <xf numFmtId="164" fontId="3" fillId="0" borderId="0" xfId="0" applyFont="1"/>
    <xf numFmtId="165" fontId="3" fillId="0" borderId="2" xfId="3" applyNumberFormat="1"/>
    <xf numFmtId="169" fontId="3" fillId="0" borderId="0" xfId="51" applyFont="1"/>
    <xf numFmtId="164" fontId="3" fillId="0" borderId="0" xfId="0" applyFont="1" applyAlignment="1">
      <alignment horizontal="right"/>
    </xf>
    <xf numFmtId="170" fontId="0" fillId="0" borderId="0" xfId="0" applyNumberFormat="1"/>
    <xf numFmtId="170" fontId="3" fillId="0" borderId="1" xfId="2" applyNumberFormat="1"/>
    <xf numFmtId="170" fontId="5" fillId="0" borderId="0" xfId="0" applyNumberFormat="1" applyFont="1"/>
    <xf numFmtId="170" fontId="22" fillId="0" borderId="1" xfId="2" applyNumberFormat="1" applyFont="1"/>
    <xf numFmtId="171" fontId="5" fillId="0" borderId="0" xfId="1" applyNumberFormat="1" applyFont="1"/>
    <xf numFmtId="172" fontId="0" fillId="0" borderId="0" xfId="0" applyNumberFormat="1"/>
    <xf numFmtId="171" fontId="0" fillId="0" borderId="0" xfId="1" applyNumberFormat="1" applyFont="1"/>
    <xf numFmtId="171" fontId="3" fillId="0" borderId="1" xfId="2" applyNumberFormat="1"/>
    <xf numFmtId="170" fontId="3" fillId="0" borderId="2" xfId="3" applyNumberFormat="1"/>
    <xf numFmtId="170" fontId="3" fillId="0" borderId="0" xfId="0" applyNumberFormat="1" applyFont="1"/>
    <xf numFmtId="171" fontId="23" fillId="0" borderId="0" xfId="1" applyNumberFormat="1" applyFont="1"/>
    <xf numFmtId="166" fontId="23" fillId="0" borderId="0" xfId="4" applyFont="1"/>
    <xf numFmtId="168" fontId="23" fillId="0" borderId="0" xfId="50" applyFont="1"/>
    <xf numFmtId="170" fontId="4" fillId="0" borderId="0" xfId="0" applyNumberFormat="1" applyFont="1"/>
    <xf numFmtId="173" fontId="4" fillId="0" borderId="0" xfId="51" applyNumberFormat="1" applyFont="1"/>
    <xf numFmtId="171" fontId="4" fillId="0" borderId="0" xfId="1" applyNumberFormat="1" applyFont="1"/>
    <xf numFmtId="171" fontId="2" fillId="0" borderId="0" xfId="1" applyNumberFormat="1" applyFont="1"/>
    <xf numFmtId="169" fontId="4" fillId="0" borderId="0" xfId="51" applyFont="1"/>
    <xf numFmtId="170" fontId="23" fillId="0" borderId="0" xfId="0" applyNumberFormat="1" applyFont="1"/>
    <xf numFmtId="170" fontId="4" fillId="0" borderId="0" xfId="51" applyNumberFormat="1" applyFont="1"/>
    <xf numFmtId="168" fontId="3" fillId="0" borderId="2" xfId="3" applyNumberFormat="1"/>
    <xf numFmtId="171" fontId="3" fillId="0" borderId="2" xfId="3" applyNumberFormat="1"/>
    <xf numFmtId="174" fontId="5" fillId="0" borderId="0" xfId="1" applyNumberFormat="1" applyFont="1"/>
    <xf numFmtId="165" fontId="4" fillId="0" borderId="0" xfId="1" applyFont="1"/>
    <xf numFmtId="165" fontId="24" fillId="0" borderId="0" xfId="1" applyFont="1"/>
    <xf numFmtId="164" fontId="3" fillId="0" borderId="0" xfId="0" applyFont="1" applyAlignment="1">
      <alignment horizontal="center"/>
    </xf>
    <xf numFmtId="169" fontId="3" fillId="0" borderId="12" xfId="51" applyFont="1" applyBorder="1"/>
    <xf numFmtId="171" fontId="24" fillId="0" borderId="0" xfId="1" applyNumberFormat="1" applyFont="1"/>
    <xf numFmtId="175" fontId="3" fillId="0" borderId="0" xfId="52"/>
    <xf numFmtId="175" fontId="22" fillId="0" borderId="0" xfId="52" applyFont="1"/>
    <xf numFmtId="164" fontId="22" fillId="0" borderId="0" xfId="0" applyFont="1" applyAlignment="1">
      <alignment horizontal="right"/>
    </xf>
    <xf numFmtId="170" fontId="23" fillId="0" borderId="1" xfId="2" applyNumberFormat="1" applyFont="1"/>
    <xf numFmtId="170" fontId="23" fillId="0" borderId="0" xfId="51" applyNumberFormat="1" applyFont="1"/>
    <xf numFmtId="168" fontId="22" fillId="0" borderId="2" xfId="3" applyNumberFormat="1" applyFont="1"/>
    <xf numFmtId="171" fontId="22" fillId="0" borderId="2" xfId="3" applyNumberFormat="1" applyFont="1"/>
    <xf numFmtId="171" fontId="22" fillId="0" borderId="1" xfId="2" applyNumberFormat="1" applyFont="1"/>
    <xf numFmtId="164" fontId="3" fillId="2" borderId="1" xfId="2" applyFill="1"/>
    <xf numFmtId="168" fontId="22" fillId="2" borderId="1" xfId="2" applyNumberFormat="1" applyFont="1" applyFill="1"/>
    <xf numFmtId="168" fontId="3" fillId="2" borderId="1" xfId="2" applyNumberFormat="1" applyFill="1"/>
    <xf numFmtId="169" fontId="3" fillId="0" borderId="0" xfId="51" applyFont="1" applyBorder="1"/>
    <xf numFmtId="169" fontId="0" fillId="0" borderId="13" xfId="51" applyFont="1" applyBorder="1"/>
    <xf numFmtId="169" fontId="0" fillId="0" borderId="2" xfId="51" applyFont="1" applyBorder="1"/>
    <xf numFmtId="169" fontId="0" fillId="0" borderId="14" xfId="51" applyFont="1" applyBorder="1"/>
    <xf numFmtId="169" fontId="0" fillId="0" borderId="15" xfId="51" applyFont="1" applyBorder="1"/>
    <xf numFmtId="169" fontId="0" fillId="0" borderId="1" xfId="51" applyFont="1" applyBorder="1"/>
    <xf numFmtId="169" fontId="0" fillId="0" borderId="16" xfId="51" applyFont="1" applyBorder="1"/>
    <xf numFmtId="169" fontId="0" fillId="0" borderId="17" xfId="51" applyFont="1" applyBorder="1"/>
    <xf numFmtId="169" fontId="0" fillId="0" borderId="0" xfId="51" applyFont="1" applyBorder="1"/>
    <xf numFmtId="169" fontId="0" fillId="0" borderId="18" xfId="51" applyFont="1" applyBorder="1"/>
    <xf numFmtId="169" fontId="0" fillId="0" borderId="19" xfId="51" applyFont="1" applyBorder="1"/>
    <xf numFmtId="169" fontId="0" fillId="0" borderId="20" xfId="51" applyFont="1" applyBorder="1"/>
    <xf numFmtId="169" fontId="0" fillId="0" borderId="21" xfId="51" applyFont="1" applyBorder="1"/>
    <xf numFmtId="171" fontId="27" fillId="0" borderId="0" xfId="1" applyNumberFormat="1" applyFont="1"/>
    <xf numFmtId="171" fontId="23" fillId="0" borderId="13" xfId="1" applyNumberFormat="1" applyFont="1" applyBorder="1"/>
    <xf numFmtId="171" fontId="23" fillId="0" borderId="2" xfId="1" applyNumberFormat="1" applyFont="1" applyBorder="1"/>
    <xf numFmtId="171" fontId="23" fillId="0" borderId="14" xfId="1" applyNumberFormat="1" applyFont="1" applyBorder="1"/>
    <xf numFmtId="166" fontId="23" fillId="0" borderId="13" xfId="4" applyFont="1" applyBorder="1"/>
    <xf numFmtId="166" fontId="23" fillId="0" borderId="2" xfId="4" applyFont="1" applyBorder="1"/>
    <xf numFmtId="166" fontId="23" fillId="0" borderId="14" xfId="4" applyFont="1" applyBorder="1"/>
    <xf numFmtId="168" fontId="23" fillId="0" borderId="13" xfId="50" applyFont="1" applyBorder="1"/>
    <xf numFmtId="168" fontId="23" fillId="0" borderId="2" xfId="50" applyFont="1" applyBorder="1"/>
    <xf numFmtId="168" fontId="23" fillId="0" borderId="14" xfId="50" applyFont="1" applyBorder="1"/>
    <xf numFmtId="175" fontId="22" fillId="0" borderId="0" xfId="52" applyFont="1" applyAlignment="1">
      <alignment horizontal="right"/>
    </xf>
    <xf numFmtId="166" fontId="27" fillId="0" borderId="0" xfId="4" applyFont="1"/>
    <xf numFmtId="168" fontId="27" fillId="0" borderId="0" xfId="50" applyFont="1"/>
    <xf numFmtId="165" fontId="28" fillId="0" borderId="0" xfId="1" applyFont="1"/>
    <xf numFmtId="165" fontId="29" fillId="0" borderId="0" xfId="1" applyFont="1"/>
    <xf numFmtId="171" fontId="28" fillId="0" borderId="0" xfId="1" applyNumberFormat="1" applyFont="1"/>
    <xf numFmtId="171" fontId="29" fillId="0" borderId="0" xfId="1" applyNumberFormat="1" applyFont="1"/>
    <xf numFmtId="164" fontId="3" fillId="34" borderId="0" xfId="0" applyFont="1" applyFill="1"/>
    <xf numFmtId="164" fontId="0" fillId="34" borderId="0" xfId="0" applyFill="1"/>
    <xf numFmtId="164" fontId="0" fillId="0" borderId="12" xfId="0" applyBorder="1"/>
    <xf numFmtId="169" fontId="29" fillId="0" borderId="0" xfId="51" applyFont="1" applyBorder="1"/>
    <xf numFmtId="164" fontId="3" fillId="35" borderId="2" xfId="3" applyFill="1"/>
    <xf numFmtId="169" fontId="3" fillId="35" borderId="2" xfId="51" applyFont="1" applyFill="1" applyBorder="1"/>
  </cellXfs>
  <cellStyles count="53">
    <cellStyle name="20% - Accent1" xfId="26" builtinId="30" hidden="1"/>
    <cellStyle name="20% - Accent2" xfId="30" builtinId="34" hidden="1"/>
    <cellStyle name="20% - Accent3" xfId="34" builtinId="38" hidden="1"/>
    <cellStyle name="20% - Accent4" xfId="38" builtinId="42" hidden="1"/>
    <cellStyle name="20% - Accent5" xfId="42" builtinId="46" hidden="1"/>
    <cellStyle name="20% - Accent6" xfId="46" builtinId="50" hidden="1"/>
    <cellStyle name="40% - Accent1" xfId="27" builtinId="31" hidden="1"/>
    <cellStyle name="40% - Accent2" xfId="31" builtinId="35" hidden="1"/>
    <cellStyle name="40% - Accent3" xfId="35" builtinId="39" hidden="1"/>
    <cellStyle name="40% - Accent4" xfId="39" builtinId="43" hidden="1"/>
    <cellStyle name="40% - Accent5" xfId="43" builtinId="47" hidden="1"/>
    <cellStyle name="40% - Accent6" xfId="47" builtinId="51" hidden="1"/>
    <cellStyle name="60% - Accent1" xfId="28" builtinId="32" hidden="1"/>
    <cellStyle name="60% - Accent2" xfId="32" builtinId="36" hidden="1"/>
    <cellStyle name="60% - Accent3" xfId="36" builtinId="40" hidden="1"/>
    <cellStyle name="60% - Accent4" xfId="40" builtinId="44" hidden="1"/>
    <cellStyle name="60% - Accent5" xfId="44" builtinId="48" hidden="1"/>
    <cellStyle name="60% - Accent6" xfId="48" builtinId="52" hidden="1"/>
    <cellStyle name="Accent1" xfId="25" builtinId="29" hidden="1"/>
    <cellStyle name="Accent2" xfId="29" builtinId="33" hidden="1"/>
    <cellStyle name="Accent3" xfId="33" builtinId="37" hidden="1"/>
    <cellStyle name="Accent4" xfId="37" builtinId="41" hidden="1"/>
    <cellStyle name="Accent5" xfId="41" builtinId="45" hidden="1"/>
    <cellStyle name="Accent6" xfId="45" builtinId="49" hidden="1"/>
    <cellStyle name="Bad" xfId="6" builtinId="27" hidden="1"/>
    <cellStyle name="Calculation" xfId="18" builtinId="22" hidden="1"/>
    <cellStyle name="Check Cell" xfId="20" builtinId="23" hidden="1"/>
    <cellStyle name="Comma" xfId="51" builtinId="3" customBuiltin="1"/>
    <cellStyle name="Comma [0]" xfId="8" builtinId="6" hidden="1"/>
    <cellStyle name="Currency" xfId="9" builtinId="4" hidden="1"/>
    <cellStyle name="Currency [0]" xfId="10" builtinId="7" hidden="1"/>
    <cellStyle name="Days" xfId="4" xr:uid="{0F5DC9CA-0852-4C16-A613-0339B4B36120}"/>
    <cellStyle name="Explanatory Text" xfId="23" builtinId="53" hidden="1"/>
    <cellStyle name="Good" xfId="5" builtinId="26" hidden="1"/>
    <cellStyle name="Heading 1" xfId="12" builtinId="16" hidden="1"/>
    <cellStyle name="Heading 2" xfId="13" builtinId="17" hidden="1"/>
    <cellStyle name="Heading 3" xfId="14" builtinId="18" hidden="1"/>
    <cellStyle name="Heading 4" xfId="15" builtinId="19" hidden="1"/>
    <cellStyle name="Input" xfId="16" builtinId="20" hidden="1"/>
    <cellStyle name="Linked Cell" xfId="19" builtinId="24" hidden="1"/>
    <cellStyle name="Multiples2dp" xfId="50" xr:uid="{FF46AEED-DF9B-4954-A60F-3C06CF9F1D3A}"/>
    <cellStyle name="Neutral" xfId="7" builtinId="28" hidden="1"/>
    <cellStyle name="Normal" xfId="0" builtinId="0" customBuiltin="1"/>
    <cellStyle name="Note" xfId="22" builtinId="10" hidden="1"/>
    <cellStyle name="Output" xfId="17" builtinId="21" hidden="1"/>
    <cellStyle name="Percent" xfId="1" builtinId="5" customBuiltin="1"/>
    <cellStyle name="Sub-Totals" xfId="2" xr:uid="{C6B24BB6-2A61-4BC7-A028-24780A074BFB}"/>
    <cellStyle name="Title" xfId="11" builtinId="15" hidden="1"/>
    <cellStyle name="Total" xfId="24" builtinId="25" hidden="1"/>
    <cellStyle name="Totals" xfId="3" xr:uid="{8AC9295F-FF11-4555-BCA6-CCE27EA42E87}"/>
    <cellStyle name="Warning Text" xfId="21" builtinId="11" hidden="1"/>
    <cellStyle name="Year" xfId="52" xr:uid="{2471BB3F-920D-46D0-90CE-D1BFEF413F1D}"/>
    <cellStyle name="Years" xfId="49" xr:uid="{C6136F47-5C8B-4450-9BAB-E474A69BAA22}"/>
  </cellStyles>
  <dxfs count="0"/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'TVB, Sec. F, Chs. 23-25'!$C$163</c:f>
          <c:strCache>
            <c:ptCount val="1"/>
            <c:pt idx="0">
              <c:v>Enterprise to equity value bridge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18419089196046E-2"/>
          <c:y val="0.13020408163265307"/>
          <c:w val="0.92672688721313978"/>
          <c:h val="0.73553503863965053"/>
        </c:manualLayout>
      </c:layout>
      <c:stockChart>
        <c:ser>
          <c:idx val="0"/>
          <c:order val="0"/>
          <c:tx>
            <c:strRef>
              <c:f>'TVB, Sec. F, Chs. 23-25'!$E$164</c:f>
              <c:strCache>
                <c:ptCount val="1"/>
                <c:pt idx="0">
                  <c:v>Start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'TVB, Sec. F, Chs. 23-25'!$C$165:$D$170</c:f>
              <c:strCache>
                <c:ptCount val="6"/>
                <c:pt idx="0">
                  <c:v>Enterprise value</c:v>
                </c:pt>
                <c:pt idx="1">
                  <c:v>Cash &amp; cash equivalents</c:v>
                </c:pt>
                <c:pt idx="2">
                  <c:v>Non-operating assets</c:v>
                </c:pt>
                <c:pt idx="3">
                  <c:v>Debt</c:v>
                </c:pt>
                <c:pt idx="4">
                  <c:v>Non-controlling interests</c:v>
                </c:pt>
                <c:pt idx="5">
                  <c:v>Equity value</c:v>
                </c:pt>
              </c:strCache>
            </c:strRef>
          </c:cat>
          <c:val>
            <c:numRef>
              <c:f>'TVB, Sec. F, Chs. 23-25'!$E$165:$E$170</c:f>
              <c:numCache>
                <c:formatCode>#,##0.0_);\(#,##0.0\);\-\-_)</c:formatCode>
                <c:ptCount val="6"/>
                <c:pt idx="0" formatCode="#,##0_);\(#,##0\);\-\-_)">
                  <c:v>0</c:v>
                </c:pt>
                <c:pt idx="1">
                  <c:v>330.56575167232279</c:v>
                </c:pt>
                <c:pt idx="2">
                  <c:v>337.76575167232278</c:v>
                </c:pt>
                <c:pt idx="3">
                  <c:v>370.3657516723228</c:v>
                </c:pt>
                <c:pt idx="4">
                  <c:v>299.66575167232281</c:v>
                </c:pt>
                <c:pt idx="5" formatCode="#,##0_);\(#,##0\);\-\-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8-4F8D-A5FA-9B0F34B13A16}"/>
            </c:ext>
          </c:extLst>
        </c:ser>
        <c:ser>
          <c:idx val="1"/>
          <c:order val="1"/>
          <c:tx>
            <c:strRef>
              <c:f>'TVB, Sec. F, Chs. 23-25'!$F$164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'TVB, Sec. F, Chs. 23-25'!$C$165:$D$170</c:f>
              <c:strCache>
                <c:ptCount val="6"/>
                <c:pt idx="0">
                  <c:v>Enterprise value</c:v>
                </c:pt>
                <c:pt idx="1">
                  <c:v>Cash &amp; cash equivalents</c:v>
                </c:pt>
                <c:pt idx="2">
                  <c:v>Non-operating assets</c:v>
                </c:pt>
                <c:pt idx="3">
                  <c:v>Debt</c:v>
                </c:pt>
                <c:pt idx="4">
                  <c:v>Non-controlling interests</c:v>
                </c:pt>
                <c:pt idx="5">
                  <c:v>Equity value</c:v>
                </c:pt>
              </c:strCache>
            </c:strRef>
          </c:cat>
          <c:val>
            <c:numRef>
              <c:f>'TVB, Sec. F, Chs. 23-25'!$F$165:$F$170</c:f>
              <c:numCache>
                <c:formatCode>#,##0_);\(#,##0\);\-\-_)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8-4F8D-A5FA-9B0F34B13A16}"/>
            </c:ext>
          </c:extLst>
        </c:ser>
        <c:ser>
          <c:idx val="2"/>
          <c:order val="2"/>
          <c:tx>
            <c:strRef>
              <c:f>'TVB, Sec. F, Chs. 23-25'!$G$164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'TVB, Sec. F, Chs. 23-25'!$C$165:$D$170</c:f>
              <c:strCache>
                <c:ptCount val="6"/>
                <c:pt idx="0">
                  <c:v>Enterprise value</c:v>
                </c:pt>
                <c:pt idx="1">
                  <c:v>Cash &amp; cash equivalents</c:v>
                </c:pt>
                <c:pt idx="2">
                  <c:v>Non-operating assets</c:v>
                </c:pt>
                <c:pt idx="3">
                  <c:v>Debt</c:v>
                </c:pt>
                <c:pt idx="4">
                  <c:v>Non-controlling interests</c:v>
                </c:pt>
                <c:pt idx="5">
                  <c:v>Equity value</c:v>
                </c:pt>
              </c:strCache>
            </c:strRef>
          </c:cat>
          <c:val>
            <c:numRef>
              <c:f>'TVB, Sec. F, Chs. 23-25'!$G$165:$G$170</c:f>
              <c:numCache>
                <c:formatCode>#,##0_);\(#,##0\);\-\-_)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38-4F8D-A5FA-9B0F34B13A16}"/>
            </c:ext>
          </c:extLst>
        </c:ser>
        <c:ser>
          <c:idx val="3"/>
          <c:order val="3"/>
          <c:tx>
            <c:strRef>
              <c:f>'TVB, Sec. F, Chs. 23-25'!$H$164</c:f>
              <c:strCache>
                <c:ptCount val="1"/>
                <c:pt idx="0">
                  <c:v>End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'TVB, Sec. F, Chs. 23-25'!$C$165:$D$170</c:f>
              <c:strCache>
                <c:ptCount val="6"/>
                <c:pt idx="0">
                  <c:v>Enterprise value</c:v>
                </c:pt>
                <c:pt idx="1">
                  <c:v>Cash &amp; cash equivalents</c:v>
                </c:pt>
                <c:pt idx="2">
                  <c:v>Non-operating assets</c:v>
                </c:pt>
                <c:pt idx="3">
                  <c:v>Debt</c:v>
                </c:pt>
                <c:pt idx="4">
                  <c:v>Non-controlling interests</c:v>
                </c:pt>
                <c:pt idx="5">
                  <c:v>Equity value</c:v>
                </c:pt>
              </c:strCache>
            </c:strRef>
          </c:cat>
          <c:val>
            <c:numRef>
              <c:f>'TVB, Sec. F, Chs. 23-25'!$H$165:$H$170</c:f>
              <c:numCache>
                <c:formatCode>#,##0.0_);\(#,##0.0\);\-\-_)</c:formatCode>
                <c:ptCount val="6"/>
                <c:pt idx="0">
                  <c:v>330.56575167232279</c:v>
                </c:pt>
                <c:pt idx="1">
                  <c:v>337.76575167232278</c:v>
                </c:pt>
                <c:pt idx="2">
                  <c:v>370.3657516723228</c:v>
                </c:pt>
                <c:pt idx="3">
                  <c:v>299.66575167232281</c:v>
                </c:pt>
                <c:pt idx="4">
                  <c:v>249.16575167232281</c:v>
                </c:pt>
                <c:pt idx="5">
                  <c:v>249.16575167232281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38-4F8D-A5FA-9B0F34B13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rgbClr val="0070C0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rgbClr val="FF0000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965813855"/>
        <c:axId val="973988735"/>
      </c:stockChart>
      <c:catAx>
        <c:axId val="965813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988735"/>
        <c:crosses val="autoZero"/>
        <c:auto val="1"/>
        <c:lblAlgn val="ctr"/>
        <c:lblOffset val="100"/>
        <c:noMultiLvlLbl val="0"/>
      </c:catAx>
      <c:valAx>
        <c:axId val="973988735"/>
        <c:scaling>
          <c:orientation val="minMax"/>
        </c:scaling>
        <c:delete val="0"/>
        <c:axPos val="l"/>
        <c:numFmt formatCode="#,##0_);\(#,##0\);\-\-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81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3372</xdr:colOff>
      <xdr:row>31</xdr:row>
      <xdr:rowOff>23996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38B16C-C923-2D01-211C-BDCB8CB47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42875"/>
          <a:ext cx="3737172" cy="43102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163</xdr:row>
      <xdr:rowOff>53974</xdr:rowOff>
    </xdr:from>
    <xdr:to>
      <xdr:col>14</xdr:col>
      <xdr:colOff>600075</xdr:colOff>
      <xdr:row>188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CA48-D5AE-4E6D-831C-70A1CB0642CF}">
  <dimension ref="A1:R32"/>
  <sheetViews>
    <sheetView showGridLines="0" tabSelected="1" workbookViewId="0"/>
  </sheetViews>
  <sheetFormatPr defaultColWidth="0" defaultRowHeight="11.25" zeroHeight="1" x14ac:dyDescent="0.2"/>
  <cols>
    <col min="1" max="1" width="2.83203125" customWidth="1"/>
    <col min="2" max="8" width="9.33203125" customWidth="1"/>
    <col min="9" max="9" width="2.83203125" customWidth="1"/>
    <col min="10" max="17" width="9.33203125" customWidth="1"/>
    <col min="18" max="18" width="2.83203125" customWidth="1"/>
    <col min="19" max="16384" width="9.33203125" hidden="1"/>
  </cols>
  <sheetData>
    <row r="1" spans="10:17" x14ac:dyDescent="0.2"/>
    <row r="2" spans="10:17" x14ac:dyDescent="0.2">
      <c r="J2" s="81" t="s">
        <v>81</v>
      </c>
      <c r="K2" s="82"/>
      <c r="L2" s="82"/>
      <c r="M2" s="82"/>
      <c r="N2" s="82"/>
      <c r="O2" s="82"/>
      <c r="P2" s="82"/>
      <c r="Q2" s="82"/>
    </row>
    <row r="3" spans="10:17" x14ac:dyDescent="0.2"/>
    <row r="4" spans="10:17" x14ac:dyDescent="0.2">
      <c r="J4" s="8" t="s">
        <v>67</v>
      </c>
    </row>
    <row r="5" spans="10:17" x14ac:dyDescent="0.2"/>
    <row r="6" spans="10:17" x14ac:dyDescent="0.2">
      <c r="J6" s="81" t="s">
        <v>61</v>
      </c>
      <c r="K6" s="82"/>
      <c r="L6" s="82"/>
      <c r="M6" s="82"/>
      <c r="N6" s="82"/>
      <c r="O6" s="82"/>
      <c r="P6" s="82"/>
      <c r="Q6" s="82"/>
    </row>
    <row r="7" spans="10:17" x14ac:dyDescent="0.2"/>
    <row r="8" spans="10:17" x14ac:dyDescent="0.2">
      <c r="J8" s="8" t="s">
        <v>68</v>
      </c>
    </row>
    <row r="9" spans="10:17" x14ac:dyDescent="0.2">
      <c r="J9" s="8" t="s">
        <v>82</v>
      </c>
    </row>
    <row r="10" spans="10:17" x14ac:dyDescent="0.2"/>
    <row r="11" spans="10:17" x14ac:dyDescent="0.2">
      <c r="J11" s="81" t="s">
        <v>89</v>
      </c>
      <c r="K11" s="82"/>
      <c r="L11" s="82"/>
      <c r="M11" s="82"/>
      <c r="N11" s="82"/>
      <c r="O11" s="82"/>
      <c r="P11" s="82"/>
      <c r="Q11" s="82"/>
    </row>
    <row r="12" spans="10:17" x14ac:dyDescent="0.2"/>
    <row r="13" spans="10:17" x14ac:dyDescent="0.2">
      <c r="J13" s="8" t="s">
        <v>83</v>
      </c>
    </row>
    <row r="14" spans="10:17" x14ac:dyDescent="0.2"/>
    <row r="15" spans="10:17" x14ac:dyDescent="0.2">
      <c r="K15" s="8" t="s">
        <v>84</v>
      </c>
    </row>
    <row r="16" spans="10:17" x14ac:dyDescent="0.2"/>
    <row r="17" spans="10:17" x14ac:dyDescent="0.2">
      <c r="L17" s="8" t="s">
        <v>85</v>
      </c>
    </row>
    <row r="18" spans="10:17" x14ac:dyDescent="0.2">
      <c r="L18" s="8" t="s">
        <v>86</v>
      </c>
    </row>
    <row r="19" spans="10:17" x14ac:dyDescent="0.2">
      <c r="L19" s="8" t="s">
        <v>87</v>
      </c>
    </row>
    <row r="20" spans="10:17" x14ac:dyDescent="0.2"/>
    <row r="21" spans="10:17" x14ac:dyDescent="0.2">
      <c r="J21" s="81" t="s">
        <v>62</v>
      </c>
      <c r="K21" s="82"/>
      <c r="L21" s="82"/>
      <c r="M21" s="82"/>
      <c r="N21" s="82"/>
      <c r="O21" s="82"/>
      <c r="P21" s="82"/>
      <c r="Q21" s="82"/>
    </row>
    <row r="22" spans="10:17" x14ac:dyDescent="0.2"/>
    <row r="23" spans="10:17" x14ac:dyDescent="0.2">
      <c r="J23" s="8" t="s">
        <v>69</v>
      </c>
    </row>
    <row r="24" spans="10:17" x14ac:dyDescent="0.2">
      <c r="J24" s="8" t="s">
        <v>88</v>
      </c>
    </row>
    <row r="25" spans="10:17" x14ac:dyDescent="0.2"/>
    <row r="26" spans="10:17" x14ac:dyDescent="0.2"/>
    <row r="27" spans="10:17" x14ac:dyDescent="0.2"/>
    <row r="28" spans="10:17" x14ac:dyDescent="0.2"/>
    <row r="29" spans="10:17" x14ac:dyDescent="0.2"/>
    <row r="30" spans="10:17" x14ac:dyDescent="0.2"/>
    <row r="31" spans="10:17" x14ac:dyDescent="0.2"/>
    <row r="32" spans="10:17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6C50-5882-47A6-9F15-26EA72CB0B42}">
  <dimension ref="B1:P190"/>
  <sheetViews>
    <sheetView zoomScaleNormal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ColWidth="0" defaultRowHeight="11.25" zeroHeight="1" x14ac:dyDescent="0.2"/>
  <cols>
    <col min="1" max="1" width="9" hidden="1" customWidth="1"/>
    <col min="2" max="2" width="2.6640625" customWidth="1"/>
    <col min="3" max="3" width="40.1640625" bestFit="1" customWidth="1"/>
    <col min="4" max="7" width="10.83203125" customWidth="1"/>
    <col min="8" max="15" width="10.83203125" bestFit="1" customWidth="1"/>
    <col min="16" max="16" width="2.6640625" customWidth="1"/>
    <col min="17" max="16384" width="9" hidden="1"/>
  </cols>
  <sheetData>
    <row r="1" spans="3:15" x14ac:dyDescent="0.2"/>
    <row r="2" spans="3:15" x14ac:dyDescent="0.2">
      <c r="C2" s="8" t="s">
        <v>49</v>
      </c>
      <c r="D2" s="74" t="s">
        <v>70</v>
      </c>
      <c r="E2" s="41">
        <v>0</v>
      </c>
      <c r="F2" s="40">
        <f>E2+1</f>
        <v>1</v>
      </c>
      <c r="G2" s="40">
        <f t="shared" ref="G2:O2" si="0">F2+1</f>
        <v>2</v>
      </c>
      <c r="H2" s="40">
        <f t="shared" si="0"/>
        <v>3</v>
      </c>
      <c r="I2" s="40">
        <f t="shared" si="0"/>
        <v>4</v>
      </c>
      <c r="J2" s="40">
        <f t="shared" si="0"/>
        <v>5</v>
      </c>
      <c r="K2" s="40">
        <f t="shared" si="0"/>
        <v>6</v>
      </c>
      <c r="L2" s="40">
        <f t="shared" si="0"/>
        <v>7</v>
      </c>
      <c r="M2" s="40">
        <f t="shared" si="0"/>
        <v>8</v>
      </c>
      <c r="N2" s="40">
        <f t="shared" si="0"/>
        <v>9</v>
      </c>
      <c r="O2" s="40">
        <f t="shared" si="0"/>
        <v>10</v>
      </c>
    </row>
    <row r="3" spans="3:15" x14ac:dyDescent="0.2">
      <c r="D3" s="42" t="s">
        <v>60</v>
      </c>
      <c r="E3" s="42" t="s">
        <v>60</v>
      </c>
      <c r="F3" s="11" t="s">
        <v>53</v>
      </c>
      <c r="G3" s="11" t="s">
        <v>53</v>
      </c>
      <c r="H3" s="11" t="s">
        <v>53</v>
      </c>
      <c r="I3" s="11" t="s">
        <v>53</v>
      </c>
      <c r="J3" s="11" t="s">
        <v>53</v>
      </c>
      <c r="K3" s="11" t="s">
        <v>53</v>
      </c>
      <c r="L3" s="11" t="s">
        <v>53</v>
      </c>
      <c r="M3" s="11" t="s">
        <v>53</v>
      </c>
      <c r="N3" s="11" t="s">
        <v>53</v>
      </c>
      <c r="O3" s="11" t="s">
        <v>53</v>
      </c>
    </row>
    <row r="4" spans="3:15" x14ac:dyDescent="0.2"/>
    <row r="5" spans="3:15" x14ac:dyDescent="0.2">
      <c r="C5" s="81" t="s">
        <v>30</v>
      </c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3:15" x14ac:dyDescent="0.2"/>
    <row r="7" spans="3:15" x14ac:dyDescent="0.2">
      <c r="C7" t="s">
        <v>0</v>
      </c>
      <c r="D7" s="30">
        <v>95.238095238095241</v>
      </c>
      <c r="E7" s="30">
        <v>100</v>
      </c>
      <c r="F7" s="12">
        <f>E7*(1+F8)</f>
        <v>104.70000000000002</v>
      </c>
      <c r="G7" s="12">
        <f t="shared" ref="G7:O7" si="1">F7*(1+G8)</f>
        <v>109.30680000000002</v>
      </c>
      <c r="H7" s="12">
        <f t="shared" si="1"/>
        <v>113.78837880000002</v>
      </c>
      <c r="I7" s="12">
        <f t="shared" si="1"/>
        <v>118.11233719440003</v>
      </c>
      <c r="J7" s="12">
        <f t="shared" si="1"/>
        <v>122.24626899620405</v>
      </c>
      <c r="K7" s="12">
        <f t="shared" si="1"/>
        <v>126.15814960408258</v>
      </c>
      <c r="L7" s="12">
        <f t="shared" si="1"/>
        <v>129.81673594260096</v>
      </c>
      <c r="M7" s="12">
        <f t="shared" si="1"/>
        <v>133.19197107710858</v>
      </c>
      <c r="N7" s="12">
        <f t="shared" si="1"/>
        <v>136.25538641188206</v>
      </c>
      <c r="O7" s="12">
        <f t="shared" si="1"/>
        <v>138.9804941401197</v>
      </c>
    </row>
    <row r="8" spans="3:15" x14ac:dyDescent="0.2">
      <c r="C8" s="4" t="s">
        <v>15</v>
      </c>
      <c r="D8" s="4"/>
      <c r="E8" s="64">
        <f>E7/D7-1</f>
        <v>5.0000000000000044E-2</v>
      </c>
      <c r="F8" s="65">
        <f t="shared" ref="F8:N8" si="2">E8-(E8-$O8)/($O$2-E$2)</f>
        <v>4.7000000000000042E-2</v>
      </c>
      <c r="G8" s="66">
        <f t="shared" si="2"/>
        <v>4.4000000000000039E-2</v>
      </c>
      <c r="H8" s="66">
        <f t="shared" si="2"/>
        <v>4.1000000000000036E-2</v>
      </c>
      <c r="I8" s="66">
        <f t="shared" si="2"/>
        <v>3.8000000000000034E-2</v>
      </c>
      <c r="J8" s="66">
        <f t="shared" si="2"/>
        <v>3.5000000000000031E-2</v>
      </c>
      <c r="K8" s="66">
        <f t="shared" si="2"/>
        <v>3.2000000000000028E-2</v>
      </c>
      <c r="L8" s="66">
        <f t="shared" si="2"/>
        <v>2.9000000000000022E-2</v>
      </c>
      <c r="M8" s="66">
        <f t="shared" si="2"/>
        <v>2.6000000000000016E-2</v>
      </c>
      <c r="N8" s="67">
        <f t="shared" si="2"/>
        <v>2.3000000000000007E-2</v>
      </c>
      <c r="O8" s="22">
        <v>0.02</v>
      </c>
    </row>
    <row r="9" spans="3:15" x14ac:dyDescent="0.2">
      <c r="C9" t="s">
        <v>21</v>
      </c>
      <c r="E9" s="30">
        <v>-72</v>
      </c>
      <c r="F9" s="12">
        <f>F7*F10*-1</f>
        <v>-75.174600000000012</v>
      </c>
      <c r="G9" s="12">
        <f t="shared" ref="G9:O9" si="3">G7*G10*-1</f>
        <v>-78.263668800000019</v>
      </c>
      <c r="H9" s="12">
        <f t="shared" si="3"/>
        <v>-81.244902463200006</v>
      </c>
      <c r="I9" s="12">
        <f t="shared" si="3"/>
        <v>-84.095984082412812</v>
      </c>
      <c r="J9" s="12">
        <f t="shared" si="3"/>
        <v>-86.794850987304869</v>
      </c>
      <c r="K9" s="12">
        <f t="shared" si="3"/>
        <v>-89.319969919690465</v>
      </c>
      <c r="L9" s="12">
        <f t="shared" si="3"/>
        <v>-91.650615575476266</v>
      </c>
      <c r="M9" s="12">
        <f t="shared" si="3"/>
        <v>-93.767147638284428</v>
      </c>
      <c r="N9" s="12">
        <f t="shared" si="3"/>
        <v>-95.651281261141193</v>
      </c>
      <c r="O9" s="12">
        <f t="shared" si="3"/>
        <v>-97.286345898083781</v>
      </c>
    </row>
    <row r="10" spans="3:15" x14ac:dyDescent="0.2">
      <c r="C10" s="4" t="s">
        <v>16</v>
      </c>
      <c r="D10" s="4"/>
      <c r="E10" s="64">
        <f>E9/E7*-1</f>
        <v>0.72</v>
      </c>
      <c r="F10" s="65">
        <f t="shared" ref="F10:N10" si="4">E10-(E10-$O10)/($O$2-E$2)</f>
        <v>0.71799999999999997</v>
      </c>
      <c r="G10" s="66">
        <f t="shared" si="4"/>
        <v>0.71599999999999997</v>
      </c>
      <c r="H10" s="66">
        <f t="shared" si="4"/>
        <v>0.71399999999999997</v>
      </c>
      <c r="I10" s="66">
        <f t="shared" si="4"/>
        <v>0.71199999999999997</v>
      </c>
      <c r="J10" s="66">
        <f t="shared" si="4"/>
        <v>0.71</v>
      </c>
      <c r="K10" s="66">
        <f t="shared" si="4"/>
        <v>0.70799999999999996</v>
      </c>
      <c r="L10" s="66">
        <f t="shared" si="4"/>
        <v>0.70599999999999996</v>
      </c>
      <c r="M10" s="66">
        <f t="shared" si="4"/>
        <v>0.70399999999999996</v>
      </c>
      <c r="N10" s="67">
        <f t="shared" si="4"/>
        <v>0.70199999999999996</v>
      </c>
      <c r="O10" s="22">
        <v>0.7</v>
      </c>
    </row>
    <row r="11" spans="3:15" x14ac:dyDescent="0.2">
      <c r="C11" s="5" t="s">
        <v>2</v>
      </c>
      <c r="D11" s="5"/>
      <c r="E11" s="15">
        <f>E7+E9</f>
        <v>28</v>
      </c>
      <c r="F11" s="13">
        <f t="shared" ref="F11:O11" si="5">F7+F9</f>
        <v>29.525400000000005</v>
      </c>
      <c r="G11" s="13">
        <f t="shared" si="5"/>
        <v>31.043131200000005</v>
      </c>
      <c r="H11" s="13">
        <f t="shared" si="5"/>
        <v>32.543476336800012</v>
      </c>
      <c r="I11" s="13">
        <f t="shared" si="5"/>
        <v>34.016353111987215</v>
      </c>
      <c r="J11" s="13">
        <f t="shared" si="5"/>
        <v>35.451418008899182</v>
      </c>
      <c r="K11" s="13">
        <f t="shared" si="5"/>
        <v>36.838179684392117</v>
      </c>
      <c r="L11" s="13">
        <f t="shared" si="5"/>
        <v>38.166120367124691</v>
      </c>
      <c r="M11" s="13">
        <f t="shared" si="5"/>
        <v>39.424823438824149</v>
      </c>
      <c r="N11" s="13">
        <f t="shared" si="5"/>
        <v>40.604105150740864</v>
      </c>
      <c r="O11" s="13">
        <f t="shared" si="5"/>
        <v>41.694148242035922</v>
      </c>
    </row>
    <row r="12" spans="3:15" x14ac:dyDescent="0.2">
      <c r="C12" t="s">
        <v>17</v>
      </c>
      <c r="E12" s="30">
        <v>-2</v>
      </c>
      <c r="F12" s="12">
        <f>F7*F13*-1</f>
        <v>-2.0940000000000003</v>
      </c>
      <c r="G12" s="12">
        <f t="shared" ref="G12:O12" si="6">G7*G13*-1</f>
        <v>-2.1861360000000007</v>
      </c>
      <c r="H12" s="12">
        <f t="shared" si="6"/>
        <v>-2.2757675760000002</v>
      </c>
      <c r="I12" s="12">
        <f t="shared" si="6"/>
        <v>-2.3622467438880004</v>
      </c>
      <c r="J12" s="12">
        <f t="shared" si="6"/>
        <v>-2.4449253799240811</v>
      </c>
      <c r="K12" s="12">
        <f t="shared" si="6"/>
        <v>-2.5231629920816516</v>
      </c>
      <c r="L12" s="12">
        <f t="shared" si="6"/>
        <v>-2.5963347188520194</v>
      </c>
      <c r="M12" s="12">
        <f t="shared" si="6"/>
        <v>-2.6638394215421717</v>
      </c>
      <c r="N12" s="12">
        <f t="shared" si="6"/>
        <v>-2.7251077282376412</v>
      </c>
      <c r="O12" s="12">
        <f t="shared" si="6"/>
        <v>-2.7796098828023941</v>
      </c>
    </row>
    <row r="13" spans="3:15" x14ac:dyDescent="0.2">
      <c r="C13" s="4" t="s">
        <v>18</v>
      </c>
      <c r="D13" s="4"/>
      <c r="E13" s="64">
        <f>E12/E7*-1</f>
        <v>0.02</v>
      </c>
      <c r="F13" s="65">
        <f t="shared" ref="F13:N13" si="7">E13-(E13-$O13)/($O$2-E$2)</f>
        <v>0.02</v>
      </c>
      <c r="G13" s="66">
        <f t="shared" si="7"/>
        <v>0.02</v>
      </c>
      <c r="H13" s="66">
        <f t="shared" si="7"/>
        <v>0.02</v>
      </c>
      <c r="I13" s="66">
        <f t="shared" si="7"/>
        <v>0.02</v>
      </c>
      <c r="J13" s="66">
        <f t="shared" si="7"/>
        <v>0.02</v>
      </c>
      <c r="K13" s="66">
        <f t="shared" si="7"/>
        <v>0.02</v>
      </c>
      <c r="L13" s="66">
        <f t="shared" si="7"/>
        <v>0.02</v>
      </c>
      <c r="M13" s="66">
        <f t="shared" si="7"/>
        <v>0.02</v>
      </c>
      <c r="N13" s="67">
        <f t="shared" si="7"/>
        <v>0.02</v>
      </c>
      <c r="O13" s="22">
        <v>0.02</v>
      </c>
    </row>
    <row r="14" spans="3:15" x14ac:dyDescent="0.2">
      <c r="C14" s="5" t="s">
        <v>3</v>
      </c>
      <c r="D14" s="5"/>
      <c r="E14" s="15">
        <f>SUM(E11:E12)</f>
        <v>26</v>
      </c>
      <c r="F14" s="13">
        <f t="shared" ref="F14:O14" si="8">SUM(F11:F12)</f>
        <v>27.431400000000004</v>
      </c>
      <c r="G14" s="13">
        <f t="shared" si="8"/>
        <v>28.856995200000004</v>
      </c>
      <c r="H14" s="13">
        <f t="shared" si="8"/>
        <v>30.267708760800012</v>
      </c>
      <c r="I14" s="13">
        <f t="shared" si="8"/>
        <v>31.654106368099214</v>
      </c>
      <c r="J14" s="13">
        <f t="shared" si="8"/>
        <v>33.006492628975103</v>
      </c>
      <c r="K14" s="13">
        <f t="shared" si="8"/>
        <v>34.315016692310465</v>
      </c>
      <c r="L14" s="13">
        <f t="shared" si="8"/>
        <v>35.569785648272671</v>
      </c>
      <c r="M14" s="13">
        <f t="shared" si="8"/>
        <v>36.760984017281977</v>
      </c>
      <c r="N14" s="13">
        <f t="shared" si="8"/>
        <v>37.878997422503225</v>
      </c>
      <c r="O14" s="13">
        <f t="shared" si="8"/>
        <v>38.914538359233525</v>
      </c>
    </row>
    <row r="15" spans="3:15" x14ac:dyDescent="0.2">
      <c r="C15" t="s">
        <v>19</v>
      </c>
      <c r="E15" s="30">
        <v>-6.24</v>
      </c>
      <c r="F15" s="12">
        <f>F14*F16*-1</f>
        <v>-6.6109674000000016</v>
      </c>
      <c r="G15" s="12">
        <f t="shared" ref="G15:O15" si="9">G14*G16*-1</f>
        <v>-6.9833928384000012</v>
      </c>
      <c r="H15" s="12">
        <f t="shared" si="9"/>
        <v>-7.3550532288744037</v>
      </c>
      <c r="I15" s="12">
        <f t="shared" si="9"/>
        <v>-7.7236019538162086</v>
      </c>
      <c r="J15" s="12">
        <f t="shared" si="9"/>
        <v>-8.0865906940989003</v>
      </c>
      <c r="K15" s="12">
        <f t="shared" si="9"/>
        <v>-8.4414941063083759</v>
      </c>
      <c r="L15" s="12">
        <f t="shared" si="9"/>
        <v>-8.7857370551233505</v>
      </c>
      <c r="M15" s="12">
        <f t="shared" si="9"/>
        <v>-9.1167240362859321</v>
      </c>
      <c r="N15" s="12">
        <f t="shared" si="9"/>
        <v>-9.4318703582033034</v>
      </c>
      <c r="O15" s="12">
        <f t="shared" si="9"/>
        <v>-9.7286345898083813</v>
      </c>
    </row>
    <row r="16" spans="3:15" x14ac:dyDescent="0.2">
      <c r="C16" s="4" t="s">
        <v>20</v>
      </c>
      <c r="D16" s="4"/>
      <c r="E16" s="64">
        <f>E15/E14*-1</f>
        <v>0.24000000000000002</v>
      </c>
      <c r="F16" s="65">
        <f t="shared" ref="F16:N16" si="10">E16-(E16-$O16)/($O$2-E$2)</f>
        <v>0.24100000000000002</v>
      </c>
      <c r="G16" s="66">
        <f t="shared" si="10"/>
        <v>0.24200000000000002</v>
      </c>
      <c r="H16" s="66">
        <f t="shared" si="10"/>
        <v>0.24300000000000002</v>
      </c>
      <c r="I16" s="66">
        <f t="shared" si="10"/>
        <v>0.24400000000000002</v>
      </c>
      <c r="J16" s="66">
        <f t="shared" si="10"/>
        <v>0.24500000000000002</v>
      </c>
      <c r="K16" s="66">
        <f t="shared" si="10"/>
        <v>0.24600000000000002</v>
      </c>
      <c r="L16" s="66">
        <f t="shared" si="10"/>
        <v>0.24700000000000003</v>
      </c>
      <c r="M16" s="66">
        <f t="shared" si="10"/>
        <v>0.24800000000000003</v>
      </c>
      <c r="N16" s="67">
        <f t="shared" si="10"/>
        <v>0.249</v>
      </c>
      <c r="O16" s="22">
        <v>0.25</v>
      </c>
    </row>
    <row r="17" spans="3:15" x14ac:dyDescent="0.2">
      <c r="C17" s="5" t="s">
        <v>9</v>
      </c>
      <c r="D17" s="5"/>
      <c r="E17" s="15">
        <f>SUM(E14:E15)</f>
        <v>19.759999999999998</v>
      </c>
      <c r="F17" s="13">
        <f t="shared" ref="F17:O17" si="11">SUM(F14:F15)</f>
        <v>20.820432600000004</v>
      </c>
      <c r="G17" s="13">
        <f t="shared" si="11"/>
        <v>21.873602361600003</v>
      </c>
      <c r="H17" s="13">
        <f t="shared" si="11"/>
        <v>22.912655531925608</v>
      </c>
      <c r="I17" s="13">
        <f t="shared" si="11"/>
        <v>23.930504414283007</v>
      </c>
      <c r="J17" s="13">
        <f t="shared" si="11"/>
        <v>24.919901934876201</v>
      </c>
      <c r="K17" s="13">
        <f t="shared" si="11"/>
        <v>25.873522586002089</v>
      </c>
      <c r="L17" s="13">
        <f t="shared" si="11"/>
        <v>26.784048593149322</v>
      </c>
      <c r="M17" s="13">
        <f t="shared" si="11"/>
        <v>27.644259980996047</v>
      </c>
      <c r="N17" s="13">
        <f t="shared" si="11"/>
        <v>28.44712706429992</v>
      </c>
      <c r="O17" s="13">
        <f t="shared" si="11"/>
        <v>29.185903769425146</v>
      </c>
    </row>
    <row r="18" spans="3:15" x14ac:dyDescent="0.2">
      <c r="O18" s="7"/>
    </row>
    <row r="19" spans="3:15" x14ac:dyDescent="0.2">
      <c r="C19" t="s">
        <v>72</v>
      </c>
      <c r="E19" s="14">
        <f t="shared" ref="E19:O19" si="12">D20-E20</f>
        <v>-1.6164383561643803</v>
      </c>
      <c r="F19" s="12">
        <f t="shared" si="12"/>
        <v>-1.4236126027397376</v>
      </c>
      <c r="G19" s="12">
        <f t="shared" si="12"/>
        <v>-1.407732519452054</v>
      </c>
      <c r="H19" s="12">
        <f t="shared" si="12"/>
        <v>-1.3824111853084879</v>
      </c>
      <c r="I19" s="12">
        <f t="shared" si="12"/>
        <v>-1.3473990565201213</v>
      </c>
      <c r="J19" s="12">
        <f t="shared" si="12"/>
        <v>-1.3025525624431822</v>
      </c>
      <c r="K19" s="12">
        <f t="shared" si="12"/>
        <v>-1.2478416852482255</v>
      </c>
      <c r="L19" s="12">
        <f t="shared" si="12"/>
        <v>-1.1833558392334282</v>
      </c>
      <c r="M19" s="12">
        <f t="shared" si="12"/>
        <v>-1.1093078380029695</v>
      </c>
      <c r="N19" s="12">
        <f t="shared" si="12"/>
        <v>-1.0260357738190251</v>
      </c>
      <c r="O19" s="12">
        <f t="shared" si="12"/>
        <v>-0.9340026761713105</v>
      </c>
    </row>
    <row r="20" spans="3:15" x14ac:dyDescent="0.2">
      <c r="C20" s="4" t="s">
        <v>5</v>
      </c>
      <c r="D20" s="30">
        <v>26</v>
      </c>
      <c r="E20" s="30">
        <v>27.61643835616438</v>
      </c>
      <c r="F20" s="14">
        <f t="shared" ref="F20:O20" si="13">F21/365*F9*-1</f>
        <v>29.040050958904118</v>
      </c>
      <c r="G20" s="14">
        <f t="shared" si="13"/>
        <v>30.447783478356172</v>
      </c>
      <c r="H20" s="14">
        <f t="shared" si="13"/>
        <v>31.83019466366466</v>
      </c>
      <c r="I20" s="14">
        <f t="shared" si="13"/>
        <v>33.177593720184781</v>
      </c>
      <c r="J20" s="14">
        <f t="shared" si="13"/>
        <v>34.480146282627963</v>
      </c>
      <c r="K20" s="14">
        <f t="shared" si="13"/>
        <v>35.727987967876189</v>
      </c>
      <c r="L20" s="14">
        <f t="shared" si="13"/>
        <v>36.911343807109617</v>
      </c>
      <c r="M20" s="14">
        <f t="shared" si="13"/>
        <v>38.020651645112586</v>
      </c>
      <c r="N20" s="14">
        <f t="shared" si="13"/>
        <v>39.046687418931612</v>
      </c>
      <c r="O20" s="14">
        <f t="shared" si="13"/>
        <v>39.980690095102922</v>
      </c>
    </row>
    <row r="21" spans="3:15" x14ac:dyDescent="0.2">
      <c r="C21" s="4" t="s">
        <v>23</v>
      </c>
      <c r="D21" s="4"/>
      <c r="E21" s="75">
        <f>E20/E9*365*-1</f>
        <v>140</v>
      </c>
      <c r="F21" s="68">
        <f t="shared" ref="F21:N21" si="14">E21-(E21-$O21)/($O$2-E$2)</f>
        <v>141</v>
      </c>
      <c r="G21" s="69">
        <f t="shared" si="14"/>
        <v>142</v>
      </c>
      <c r="H21" s="69">
        <f t="shared" si="14"/>
        <v>143</v>
      </c>
      <c r="I21" s="69">
        <f t="shared" si="14"/>
        <v>144</v>
      </c>
      <c r="J21" s="69">
        <f t="shared" si="14"/>
        <v>145</v>
      </c>
      <c r="K21" s="69">
        <f t="shared" si="14"/>
        <v>146</v>
      </c>
      <c r="L21" s="69">
        <f t="shared" si="14"/>
        <v>147</v>
      </c>
      <c r="M21" s="69">
        <f t="shared" si="14"/>
        <v>148</v>
      </c>
      <c r="N21" s="70">
        <f t="shared" si="14"/>
        <v>149</v>
      </c>
      <c r="O21" s="23">
        <v>150</v>
      </c>
    </row>
    <row r="22" spans="3:15" x14ac:dyDescent="0.2">
      <c r="C22" t="s">
        <v>73</v>
      </c>
      <c r="E22" s="14">
        <f t="shared" ref="E22:O22" si="15">D23-E23</f>
        <v>-1.8767123287671197</v>
      </c>
      <c r="F22" s="12">
        <f t="shared" si="15"/>
        <v>-1.832054794520559</v>
      </c>
      <c r="G22" s="12">
        <f t="shared" si="15"/>
        <v>-1.8266564383561672</v>
      </c>
      <c r="H22" s="12">
        <f t="shared" si="15"/>
        <v>-1.8097013490410916</v>
      </c>
      <c r="I22" s="12">
        <f t="shared" si="15"/>
        <v>-1.7807101909742471</v>
      </c>
      <c r="J22" s="12">
        <f t="shared" si="15"/>
        <v>-1.7393255134791872</v>
      </c>
      <c r="K22" s="12">
        <f t="shared" si="15"/>
        <v>-1.6853239057230169</v>
      </c>
      <c r="L22" s="12">
        <f t="shared" si="15"/>
        <v>-1.6186263413586701</v>
      </c>
      <c r="M22" s="12">
        <f t="shared" si="15"/>
        <v>-1.5393063922180161</v>
      </c>
      <c r="N22" s="12">
        <f t="shared" si="15"/>
        <v>-1.4475960253777771</v>
      </c>
      <c r="O22" s="12">
        <f t="shared" si="15"/>
        <v>-1.3438887426925348</v>
      </c>
    </row>
    <row r="23" spans="3:15" x14ac:dyDescent="0.2">
      <c r="C23" s="4" t="s">
        <v>47</v>
      </c>
      <c r="D23" s="30">
        <v>31</v>
      </c>
      <c r="E23" s="30">
        <v>32.87671232876712</v>
      </c>
      <c r="F23" s="14">
        <f t="shared" ref="F23:O23" si="16">F24/365*F7</f>
        <v>34.708767123287679</v>
      </c>
      <c r="G23" s="14">
        <f t="shared" si="16"/>
        <v>36.535423561643846</v>
      </c>
      <c r="H23" s="14">
        <f t="shared" si="16"/>
        <v>38.345124910684937</v>
      </c>
      <c r="I23" s="14">
        <f t="shared" si="16"/>
        <v>40.125835101659185</v>
      </c>
      <c r="J23" s="14">
        <f t="shared" si="16"/>
        <v>41.865160615138372</v>
      </c>
      <c r="K23" s="14">
        <f t="shared" si="16"/>
        <v>43.550484520861389</v>
      </c>
      <c r="L23" s="14">
        <f t="shared" si="16"/>
        <v>45.169110862220059</v>
      </c>
      <c r="M23" s="14">
        <f t="shared" si="16"/>
        <v>46.708417254438075</v>
      </c>
      <c r="N23" s="14">
        <f t="shared" si="16"/>
        <v>48.156013279815852</v>
      </c>
      <c r="O23" s="14">
        <f t="shared" si="16"/>
        <v>49.499902022508387</v>
      </c>
    </row>
    <row r="24" spans="3:15" x14ac:dyDescent="0.2">
      <c r="C24" s="4" t="s">
        <v>24</v>
      </c>
      <c r="D24" s="4"/>
      <c r="E24" s="75">
        <f>E23/E7*365</f>
        <v>120</v>
      </c>
      <c r="F24" s="68">
        <f t="shared" ref="F24:N24" si="17">E24-(E24-$O24)/($O$2-E$2)</f>
        <v>121</v>
      </c>
      <c r="G24" s="69">
        <f t="shared" si="17"/>
        <v>122</v>
      </c>
      <c r="H24" s="69">
        <f t="shared" si="17"/>
        <v>123</v>
      </c>
      <c r="I24" s="69">
        <f t="shared" si="17"/>
        <v>124</v>
      </c>
      <c r="J24" s="69">
        <f t="shared" si="17"/>
        <v>125</v>
      </c>
      <c r="K24" s="69">
        <f t="shared" si="17"/>
        <v>126</v>
      </c>
      <c r="L24" s="69">
        <f t="shared" si="17"/>
        <v>127</v>
      </c>
      <c r="M24" s="69">
        <f t="shared" si="17"/>
        <v>128</v>
      </c>
      <c r="N24" s="70">
        <f t="shared" si="17"/>
        <v>129</v>
      </c>
      <c r="O24" s="23">
        <v>130</v>
      </c>
    </row>
    <row r="25" spans="3:15" x14ac:dyDescent="0.2">
      <c r="C25" t="s">
        <v>74</v>
      </c>
      <c r="E25" s="14">
        <f t="shared" ref="E25:O25" si="18">E26-D26</f>
        <v>0.72602739726027465</v>
      </c>
      <c r="F25" s="12">
        <f t="shared" si="18"/>
        <v>0.66379561643836027</v>
      </c>
      <c r="G25" s="12">
        <f t="shared" si="18"/>
        <v>0.62343600657534282</v>
      </c>
      <c r="H25" s="12">
        <f t="shared" si="18"/>
        <v>0.57785204528876477</v>
      </c>
      <c r="I25" s="12">
        <f t="shared" si="18"/>
        <v>0.52728474789377699</v>
      </c>
      <c r="J25" s="12">
        <f t="shared" si="18"/>
        <v>0.47204485447214495</v>
      </c>
      <c r="K25" s="12">
        <f t="shared" si="18"/>
        <v>0.41251048947107094</v>
      </c>
      <c r="L25" s="12">
        <f t="shared" si="18"/>
        <v>0.34912349607778026</v>
      </c>
      <c r="M25" s="12">
        <f t="shared" si="18"/>
        <v>0.28238447726814897</v>
      </c>
      <c r="N25" s="12">
        <f t="shared" si="18"/>
        <v>0.21284660833337199</v>
      </c>
      <c r="O25" s="12">
        <f t="shared" si="18"/>
        <v>0.14110831798271661</v>
      </c>
    </row>
    <row r="26" spans="3:15" x14ac:dyDescent="0.2">
      <c r="C26" s="4" t="s">
        <v>48</v>
      </c>
      <c r="D26" s="30">
        <v>19</v>
      </c>
      <c r="E26" s="30">
        <v>19.726027397260275</v>
      </c>
      <c r="F26" s="14">
        <f t="shared" ref="F26:O26" si="19">F27/365*F9*-1</f>
        <v>20.389823013698635</v>
      </c>
      <c r="G26" s="14">
        <f t="shared" si="19"/>
        <v>21.013259020273978</v>
      </c>
      <c r="H26" s="14">
        <f t="shared" si="19"/>
        <v>21.591111065562743</v>
      </c>
      <c r="I26" s="14">
        <f t="shared" si="19"/>
        <v>22.11839581345652</v>
      </c>
      <c r="J26" s="14">
        <f t="shared" si="19"/>
        <v>22.590440667928664</v>
      </c>
      <c r="K26" s="14">
        <f t="shared" si="19"/>
        <v>23.002951157399735</v>
      </c>
      <c r="L26" s="14">
        <f t="shared" si="19"/>
        <v>23.352074653477516</v>
      </c>
      <c r="M26" s="14">
        <f t="shared" si="19"/>
        <v>23.634459130745665</v>
      </c>
      <c r="N26" s="14">
        <f t="shared" si="19"/>
        <v>23.847305739079037</v>
      </c>
      <c r="O26" s="14">
        <f t="shared" si="19"/>
        <v>23.988414057061753</v>
      </c>
    </row>
    <row r="27" spans="3:15" x14ac:dyDescent="0.2">
      <c r="C27" s="4" t="s">
        <v>25</v>
      </c>
      <c r="D27" s="4"/>
      <c r="E27" s="75">
        <f>E26/E9*365*-1</f>
        <v>100</v>
      </c>
      <c r="F27" s="68">
        <f t="shared" ref="F27:N27" si="20">E27-(E27-$O27)/($O$2-E$2)</f>
        <v>99</v>
      </c>
      <c r="G27" s="69">
        <f t="shared" si="20"/>
        <v>98</v>
      </c>
      <c r="H27" s="69">
        <f t="shared" si="20"/>
        <v>97</v>
      </c>
      <c r="I27" s="69">
        <f t="shared" si="20"/>
        <v>96</v>
      </c>
      <c r="J27" s="69">
        <f t="shared" si="20"/>
        <v>95</v>
      </c>
      <c r="K27" s="69">
        <f t="shared" si="20"/>
        <v>94</v>
      </c>
      <c r="L27" s="69">
        <f t="shared" si="20"/>
        <v>93</v>
      </c>
      <c r="M27" s="69">
        <f t="shared" si="20"/>
        <v>92</v>
      </c>
      <c r="N27" s="70">
        <f t="shared" si="20"/>
        <v>91</v>
      </c>
      <c r="O27" s="23">
        <v>90</v>
      </c>
    </row>
    <row r="28" spans="3:15" x14ac:dyDescent="0.2">
      <c r="C28" s="5" t="s">
        <v>22</v>
      </c>
      <c r="D28" s="5"/>
      <c r="E28" s="15">
        <f>E19+E22+E25</f>
        <v>-2.7671232876712253</v>
      </c>
      <c r="F28" s="13">
        <f>F19+F22+F25</f>
        <v>-2.5918717808219363</v>
      </c>
      <c r="G28" s="13">
        <f t="shared" ref="G28:O28" si="21">G19+G22+G25</f>
        <v>-2.6109529512328784</v>
      </c>
      <c r="H28" s="13">
        <f t="shared" si="21"/>
        <v>-2.6142604890608148</v>
      </c>
      <c r="I28" s="13">
        <f t="shared" si="21"/>
        <v>-2.6008244996005914</v>
      </c>
      <c r="J28" s="13">
        <f t="shared" si="21"/>
        <v>-2.5698332214502244</v>
      </c>
      <c r="K28" s="13">
        <f t="shared" si="21"/>
        <v>-2.5206551015001715</v>
      </c>
      <c r="L28" s="13">
        <f t="shared" si="21"/>
        <v>-2.4528586845143181</v>
      </c>
      <c r="M28" s="13">
        <f t="shared" si="21"/>
        <v>-2.3662297529528367</v>
      </c>
      <c r="N28" s="13">
        <f t="shared" si="21"/>
        <v>-2.2607851908634302</v>
      </c>
      <c r="O28" s="13">
        <f t="shared" si="21"/>
        <v>-2.1367831008811287</v>
      </c>
    </row>
    <row r="29" spans="3:15" x14ac:dyDescent="0.2"/>
    <row r="30" spans="3:15" x14ac:dyDescent="0.2">
      <c r="C30" t="s">
        <v>6</v>
      </c>
      <c r="E30" s="30">
        <v>-5.0999999999999996</v>
      </c>
      <c r="F30" s="12">
        <f>F12*F31</f>
        <v>-5.0779500000000004</v>
      </c>
      <c r="G30" s="12">
        <f t="shared" ref="G30:O30" si="22">G12*G31</f>
        <v>-5.1374196000000012</v>
      </c>
      <c r="H30" s="12">
        <f t="shared" si="22"/>
        <v>-5.177371235399999</v>
      </c>
      <c r="I30" s="12">
        <f t="shared" si="22"/>
        <v>-5.1969428365536006</v>
      </c>
      <c r="J30" s="12">
        <f t="shared" si="22"/>
        <v>-5.1954664323386721</v>
      </c>
      <c r="K30" s="12">
        <f t="shared" si="22"/>
        <v>-5.1724841337673855</v>
      </c>
      <c r="L30" s="12">
        <f t="shared" si="22"/>
        <v>-5.1277610697327383</v>
      </c>
      <c r="M30" s="12">
        <f t="shared" si="22"/>
        <v>-5.0612949009301262</v>
      </c>
      <c r="N30" s="12">
        <f t="shared" si="22"/>
        <v>-4.9733216040336954</v>
      </c>
      <c r="O30" s="12">
        <f t="shared" si="22"/>
        <v>-4.8643172949041897</v>
      </c>
    </row>
    <row r="31" spans="3:15" x14ac:dyDescent="0.2">
      <c r="C31" s="4" t="s">
        <v>26</v>
      </c>
      <c r="D31" s="4"/>
      <c r="E31" s="76">
        <f>ROUNDDOWN(E30/E32*-1,1)</f>
        <v>2.5</v>
      </c>
      <c r="F31" s="71">
        <f t="shared" ref="F31:N31" si="23">E31-(E31-$O31)/($O$2-E$2)</f>
        <v>2.4249999999999998</v>
      </c>
      <c r="G31" s="72">
        <f t="shared" si="23"/>
        <v>2.3499999999999996</v>
      </c>
      <c r="H31" s="72">
        <f t="shared" si="23"/>
        <v>2.2749999999999995</v>
      </c>
      <c r="I31" s="72">
        <f t="shared" si="23"/>
        <v>2.1999999999999997</v>
      </c>
      <c r="J31" s="72">
        <f t="shared" si="23"/>
        <v>2.125</v>
      </c>
      <c r="K31" s="72">
        <f t="shared" si="23"/>
        <v>2.0499999999999998</v>
      </c>
      <c r="L31" s="72">
        <f t="shared" si="23"/>
        <v>1.9749999999999999</v>
      </c>
      <c r="M31" s="72">
        <f t="shared" si="23"/>
        <v>1.9</v>
      </c>
      <c r="N31" s="73">
        <f t="shared" si="23"/>
        <v>1.825</v>
      </c>
      <c r="O31" s="24">
        <v>1.75</v>
      </c>
    </row>
    <row r="32" spans="3:15" x14ac:dyDescent="0.2">
      <c r="C32" t="str">
        <f>C12</f>
        <v xml:space="preserve">Depreciation and amortisation expenses </v>
      </c>
      <c r="E32" s="14">
        <f>E12*-1</f>
        <v>2</v>
      </c>
      <c r="F32" s="12">
        <f t="shared" ref="F32:O32" si="24">F12*-1</f>
        <v>2.0940000000000003</v>
      </c>
      <c r="G32" s="12">
        <f t="shared" si="24"/>
        <v>2.1861360000000007</v>
      </c>
      <c r="H32" s="12">
        <f t="shared" si="24"/>
        <v>2.2757675760000002</v>
      </c>
      <c r="I32" s="12">
        <f t="shared" si="24"/>
        <v>2.3622467438880004</v>
      </c>
      <c r="J32" s="12">
        <f t="shared" si="24"/>
        <v>2.4449253799240811</v>
      </c>
      <c r="K32" s="12">
        <f t="shared" si="24"/>
        <v>2.5231629920816516</v>
      </c>
      <c r="L32" s="12">
        <f t="shared" si="24"/>
        <v>2.5963347188520194</v>
      </c>
      <c r="M32" s="12">
        <f t="shared" si="24"/>
        <v>2.6638394215421717</v>
      </c>
      <c r="N32" s="12">
        <f t="shared" si="24"/>
        <v>2.7251077282376412</v>
      </c>
      <c r="O32" s="12">
        <f t="shared" si="24"/>
        <v>2.7796098828023941</v>
      </c>
    </row>
    <row r="33" spans="3:15" x14ac:dyDescent="0.2">
      <c r="C33" s="5" t="s">
        <v>27</v>
      </c>
      <c r="D33" s="5"/>
      <c r="E33" s="15">
        <f>E30+E32</f>
        <v>-3.0999999999999996</v>
      </c>
      <c r="F33" s="13">
        <f t="shared" ref="F33:O33" si="25">F30+F32</f>
        <v>-2.9839500000000001</v>
      </c>
      <c r="G33" s="13">
        <f t="shared" si="25"/>
        <v>-2.9512836000000005</v>
      </c>
      <c r="H33" s="13">
        <f t="shared" si="25"/>
        <v>-2.9016036593999988</v>
      </c>
      <c r="I33" s="13">
        <f t="shared" si="25"/>
        <v>-2.8346960926656002</v>
      </c>
      <c r="J33" s="13">
        <f t="shared" si="25"/>
        <v>-2.750541052414591</v>
      </c>
      <c r="K33" s="13">
        <f t="shared" si="25"/>
        <v>-2.6493211416857338</v>
      </c>
      <c r="L33" s="13">
        <f t="shared" si="25"/>
        <v>-2.5314263508807189</v>
      </c>
      <c r="M33" s="13">
        <f t="shared" si="25"/>
        <v>-2.3974554793879546</v>
      </c>
      <c r="N33" s="13">
        <f t="shared" si="25"/>
        <v>-2.2482138757960541</v>
      </c>
      <c r="O33" s="13">
        <f t="shared" si="25"/>
        <v>-2.0847074121017957</v>
      </c>
    </row>
    <row r="34" spans="3:15" x14ac:dyDescent="0.2"/>
    <row r="35" spans="3:15" x14ac:dyDescent="0.2">
      <c r="C35" s="5" t="s">
        <v>28</v>
      </c>
      <c r="D35" s="5"/>
      <c r="E35" s="15">
        <f>E28+E33</f>
        <v>-5.8671232876712249</v>
      </c>
      <c r="F35" s="13">
        <f t="shared" ref="F35:O35" si="26">F28+F33</f>
        <v>-5.5758217808219364</v>
      </c>
      <c r="G35" s="13">
        <f t="shared" si="26"/>
        <v>-5.5622365512328784</v>
      </c>
      <c r="H35" s="13">
        <f t="shared" si="26"/>
        <v>-5.515864148460814</v>
      </c>
      <c r="I35" s="13">
        <f t="shared" si="26"/>
        <v>-5.435520592266192</v>
      </c>
      <c r="J35" s="13">
        <f t="shared" si="26"/>
        <v>-5.3203742738648154</v>
      </c>
      <c r="K35" s="13">
        <f t="shared" si="26"/>
        <v>-5.1699762431859053</v>
      </c>
      <c r="L35" s="13">
        <f t="shared" si="26"/>
        <v>-4.984285035395037</v>
      </c>
      <c r="M35" s="13">
        <f t="shared" si="26"/>
        <v>-4.7636852323407908</v>
      </c>
      <c r="N35" s="13">
        <f t="shared" si="26"/>
        <v>-4.5089990666594844</v>
      </c>
      <c r="O35" s="13">
        <f t="shared" si="26"/>
        <v>-4.2214905129829248</v>
      </c>
    </row>
    <row r="36" spans="3:15" x14ac:dyDescent="0.2"/>
    <row r="37" spans="3:15" x14ac:dyDescent="0.2">
      <c r="C37" s="5" t="s">
        <v>29</v>
      </c>
      <c r="D37" s="5"/>
      <c r="E37" s="15">
        <f>E17+E35</f>
        <v>13.892876712328773</v>
      </c>
      <c r="F37" s="13">
        <f t="shared" ref="F37:O37" si="27">F17+F35</f>
        <v>15.244610819178067</v>
      </c>
      <c r="G37" s="13">
        <f t="shared" si="27"/>
        <v>16.311365810367125</v>
      </c>
      <c r="H37" s="13">
        <f t="shared" si="27"/>
        <v>17.396791383464794</v>
      </c>
      <c r="I37" s="13">
        <f t="shared" si="27"/>
        <v>18.494983822016813</v>
      </c>
      <c r="J37" s="13">
        <f t="shared" si="27"/>
        <v>19.599527661011386</v>
      </c>
      <c r="K37" s="13">
        <f t="shared" si="27"/>
        <v>20.703546342816182</v>
      </c>
      <c r="L37" s="13">
        <f t="shared" si="27"/>
        <v>21.799763557754286</v>
      </c>
      <c r="M37" s="13">
        <f t="shared" si="27"/>
        <v>22.880574748655256</v>
      </c>
      <c r="N37" s="13">
        <f t="shared" si="27"/>
        <v>23.938127997640436</v>
      </c>
      <c r="O37" s="13">
        <f t="shared" si="27"/>
        <v>24.964413256442221</v>
      </c>
    </row>
    <row r="38" spans="3:15" x14ac:dyDescent="0.2"/>
    <row r="39" spans="3:15" x14ac:dyDescent="0.2">
      <c r="C39" s="81" t="s">
        <v>91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3:15" x14ac:dyDescent="0.2"/>
    <row r="41" spans="3:15" x14ac:dyDescent="0.2">
      <c r="C41" s="8" t="str">
        <f>"Terminal value using a TGR of "&amp;TEXT(E87,"0.0%")</f>
        <v>Terminal value using a TGR of 2.0%</v>
      </c>
      <c r="D41" s="8"/>
      <c r="E41" s="3"/>
      <c r="F41" s="3"/>
      <c r="G41" s="3"/>
      <c r="H41" s="3"/>
      <c r="I41" s="3"/>
      <c r="J41" s="3"/>
      <c r="K41" s="3"/>
      <c r="L41" s="3"/>
      <c r="M41" s="3"/>
      <c r="N41" s="3"/>
      <c r="O41" s="21">
        <f>E91</f>
        <v>428.68184379749272</v>
      </c>
    </row>
    <row r="42" spans="3:15" x14ac:dyDescent="0.2"/>
    <row r="43" spans="3:15" x14ac:dyDescent="0.2">
      <c r="C43" s="8" t="str">
        <f>"Discount factors using a WACC of "&amp;TEXT(E82,"0.00%")</f>
        <v>Discount factors using a WACC of 7.94%</v>
      </c>
      <c r="D43" s="8"/>
      <c r="E43" s="3"/>
      <c r="F43" s="10">
        <f t="shared" ref="F43:O43" si="28">1/(1+$E$82)^F2</f>
        <v>0.9264406151565685</v>
      </c>
      <c r="G43" s="10">
        <f t="shared" si="28"/>
        <v>0.85829221341168116</v>
      </c>
      <c r="H43" s="10">
        <f t="shared" si="28"/>
        <v>0.79515676617721076</v>
      </c>
      <c r="I43" s="10">
        <f t="shared" si="28"/>
        <v>0.73666552360312287</v>
      </c>
      <c r="J43" s="10">
        <f t="shared" si="28"/>
        <v>0.68247686085151282</v>
      </c>
      <c r="K43" s="10">
        <f t="shared" si="28"/>
        <v>0.6322742827973995</v>
      </c>
      <c r="L43" s="10">
        <f t="shared" si="28"/>
        <v>0.58576457550250094</v>
      </c>
      <c r="M43" s="10">
        <f t="shared" si="28"/>
        <v>0.54267609366546332</v>
      </c>
      <c r="N43" s="10">
        <f t="shared" si="28"/>
        <v>0.50275717404619535</v>
      </c>
      <c r="O43" s="10">
        <f t="shared" si="28"/>
        <v>0.46577466559773528</v>
      </c>
    </row>
    <row r="44" spans="3:15" x14ac:dyDescent="0.2"/>
    <row r="45" spans="3:15" x14ac:dyDescent="0.2">
      <c r="C45" t="s">
        <v>31</v>
      </c>
      <c r="E45" s="12">
        <f>SUMPRODUCT(F37:O37,F43:O43)</f>
        <v>130.89660922972499</v>
      </c>
      <c r="F45" s="34">
        <f>E45/$E$47</f>
        <v>0.39597752812420145</v>
      </c>
    </row>
    <row r="46" spans="3:15" x14ac:dyDescent="0.2">
      <c r="C46" t="s">
        <v>32</v>
      </c>
      <c r="E46" s="12">
        <f>O41*O43</f>
        <v>199.66914244259777</v>
      </c>
      <c r="F46" s="34">
        <f>E46/$E$47</f>
        <v>0.60402247187579849</v>
      </c>
    </row>
    <row r="47" spans="3:15" x14ac:dyDescent="0.2">
      <c r="C47" s="5" t="s">
        <v>33</v>
      </c>
      <c r="D47" s="5"/>
      <c r="E47" s="13">
        <f>SUM(E45:E46)</f>
        <v>330.56575167232279</v>
      </c>
    </row>
    <row r="48" spans="3:15" x14ac:dyDescent="0.2"/>
    <row r="49" spans="3:15" x14ac:dyDescent="0.2">
      <c r="C49" s="81" t="s">
        <v>92</v>
      </c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3:15" x14ac:dyDescent="0.2"/>
    <row r="51" spans="3:15" x14ac:dyDescent="0.2">
      <c r="C51" s="4" t="s">
        <v>75</v>
      </c>
      <c r="D51" s="4"/>
    </row>
    <row r="52" spans="3:15" x14ac:dyDescent="0.2"/>
    <row r="53" spans="3:15" x14ac:dyDescent="0.2">
      <c r="C53" t="s">
        <v>34</v>
      </c>
      <c r="E53" s="25">
        <v>7.2</v>
      </c>
      <c r="G53">
        <f t="shared" ref="G53:G59" si="29">E53</f>
        <v>7.2</v>
      </c>
    </row>
    <row r="54" spans="3:15" x14ac:dyDescent="0.2">
      <c r="C54" t="s">
        <v>54</v>
      </c>
      <c r="E54" s="25">
        <v>32.6</v>
      </c>
      <c r="G54">
        <f t="shared" si="29"/>
        <v>32.6</v>
      </c>
    </row>
    <row r="55" spans="3:15" x14ac:dyDescent="0.2">
      <c r="G55">
        <f t="shared" si="29"/>
        <v>0</v>
      </c>
    </row>
    <row r="56" spans="3:15" x14ac:dyDescent="0.2">
      <c r="C56" s="4" t="s">
        <v>76</v>
      </c>
      <c r="D56" s="4"/>
      <c r="G56">
        <f t="shared" si="29"/>
        <v>0</v>
      </c>
    </row>
    <row r="57" spans="3:15" x14ac:dyDescent="0.2">
      <c r="G57">
        <f t="shared" si="29"/>
        <v>0</v>
      </c>
    </row>
    <row r="58" spans="3:15" x14ac:dyDescent="0.2">
      <c r="C58" t="s">
        <v>7</v>
      </c>
      <c r="E58" s="25">
        <v>-70.7</v>
      </c>
      <c r="G58">
        <f t="shared" si="29"/>
        <v>-70.7</v>
      </c>
    </row>
    <row r="59" spans="3:15" x14ac:dyDescent="0.2">
      <c r="C59" t="s">
        <v>1</v>
      </c>
      <c r="E59" s="25">
        <v>-50.5</v>
      </c>
      <c r="G59">
        <f t="shared" si="29"/>
        <v>-50.5</v>
      </c>
    </row>
    <row r="60" spans="3:15" x14ac:dyDescent="0.2"/>
    <row r="61" spans="3:15" x14ac:dyDescent="0.2">
      <c r="C61" s="5" t="s">
        <v>14</v>
      </c>
      <c r="D61" s="5"/>
      <c r="E61" s="13">
        <f>SUM(E47:E60)</f>
        <v>249.16575167232281</v>
      </c>
    </row>
    <row r="62" spans="3:15" x14ac:dyDescent="0.2"/>
    <row r="63" spans="3:15" x14ac:dyDescent="0.2">
      <c r="C63" t="s">
        <v>35</v>
      </c>
      <c r="E63" s="26">
        <v>9.9</v>
      </c>
    </row>
    <row r="64" spans="3:15" x14ac:dyDescent="0.2"/>
    <row r="65" spans="3:15" x14ac:dyDescent="0.2">
      <c r="C65" s="85" t="s">
        <v>36</v>
      </c>
      <c r="D65" s="85"/>
      <c r="E65" s="86">
        <f>E61/E63</f>
        <v>25.168257744679071</v>
      </c>
    </row>
    <row r="66" spans="3:15" x14ac:dyDescent="0.2"/>
    <row r="67" spans="3:15" x14ac:dyDescent="0.2">
      <c r="C67" s="81" t="s">
        <v>42</v>
      </c>
      <c r="D67" s="81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3:15" x14ac:dyDescent="0.2"/>
    <row r="69" spans="3:15" x14ac:dyDescent="0.2">
      <c r="C69" t="s">
        <v>11</v>
      </c>
      <c r="E69" s="27">
        <v>0.04</v>
      </c>
    </row>
    <row r="70" spans="3:15" x14ac:dyDescent="0.2">
      <c r="C70" t="s">
        <v>37</v>
      </c>
      <c r="E70" s="27">
        <v>0.02</v>
      </c>
    </row>
    <row r="71" spans="3:15" x14ac:dyDescent="0.2">
      <c r="C71" s="5" t="s">
        <v>12</v>
      </c>
      <c r="D71" s="5"/>
      <c r="E71" s="19">
        <f>SUM(E69:E70)</f>
        <v>0.06</v>
      </c>
    </row>
    <row r="72" spans="3:15" x14ac:dyDescent="0.2">
      <c r="C72" t="s">
        <v>38</v>
      </c>
      <c r="E72" s="27">
        <v>0.25</v>
      </c>
    </row>
    <row r="73" spans="3:15" x14ac:dyDescent="0.2">
      <c r="C73" s="5" t="s">
        <v>13</v>
      </c>
      <c r="D73" s="5"/>
      <c r="E73" s="19">
        <f>E71*(1-E72)</f>
        <v>4.4999999999999998E-2</v>
      </c>
    </row>
    <row r="74" spans="3:15" x14ac:dyDescent="0.2"/>
    <row r="75" spans="3:15" x14ac:dyDescent="0.2">
      <c r="C75" t="str">
        <f>C69</f>
        <v>Risk-free rate</v>
      </c>
      <c r="E75" s="28">
        <f>E69</f>
        <v>0.04</v>
      </c>
    </row>
    <row r="76" spans="3:15" x14ac:dyDescent="0.2">
      <c r="C76" t="s">
        <v>39</v>
      </c>
      <c r="E76" s="27">
        <v>0.06</v>
      </c>
    </row>
    <row r="77" spans="3:15" x14ac:dyDescent="0.2">
      <c r="C77" t="s">
        <v>40</v>
      </c>
      <c r="E77" s="29">
        <v>0.8</v>
      </c>
    </row>
    <row r="78" spans="3:15" x14ac:dyDescent="0.2">
      <c r="C78" s="5" t="s">
        <v>41</v>
      </c>
      <c r="D78" s="5"/>
      <c r="E78" s="19">
        <f>E75+(E76*E77)</f>
        <v>8.7999999999999995E-2</v>
      </c>
    </row>
    <row r="79" spans="3:15" x14ac:dyDescent="0.2"/>
    <row r="80" spans="3:15" x14ac:dyDescent="0.2">
      <c r="C80" t="s">
        <v>77</v>
      </c>
      <c r="E80" s="27">
        <v>0.2</v>
      </c>
    </row>
    <row r="81" spans="3:15" x14ac:dyDescent="0.2">
      <c r="C81" t="s">
        <v>78</v>
      </c>
      <c r="E81" s="28">
        <f>1-E80</f>
        <v>0.8</v>
      </c>
    </row>
    <row r="82" spans="3:15" x14ac:dyDescent="0.2">
      <c r="C82" s="6" t="s">
        <v>43</v>
      </c>
      <c r="D82" s="6"/>
      <c r="E82" s="9">
        <f>(E73*E80)+(E78*E81)</f>
        <v>7.9399999999999998E-2</v>
      </c>
    </row>
    <row r="83" spans="3:15" x14ac:dyDescent="0.2"/>
    <row r="84" spans="3:15" x14ac:dyDescent="0.2">
      <c r="C84" s="81" t="s">
        <v>44</v>
      </c>
      <c r="D84" s="81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3:15" x14ac:dyDescent="0.2"/>
    <row r="86" spans="3:15" x14ac:dyDescent="0.2">
      <c r="C86" t="s">
        <v>79</v>
      </c>
      <c r="E86" s="12">
        <f>O37</f>
        <v>24.964413256442221</v>
      </c>
    </row>
    <row r="87" spans="3:15" x14ac:dyDescent="0.2">
      <c r="C87" t="s">
        <v>45</v>
      </c>
      <c r="E87" s="27">
        <v>0.02</v>
      </c>
    </row>
    <row r="88" spans="3:15" x14ac:dyDescent="0.2">
      <c r="C88" s="5" t="s">
        <v>80</v>
      </c>
      <c r="D88" s="5"/>
      <c r="E88" s="13">
        <f>E86*(1+E87)</f>
        <v>25.463701521571064</v>
      </c>
    </row>
    <row r="89" spans="3:15" x14ac:dyDescent="0.2">
      <c r="C89" t="str">
        <f>C82</f>
        <v>Weighted average cost of capital</v>
      </c>
      <c r="E89" s="7">
        <f>E82</f>
        <v>7.9399999999999998E-2</v>
      </c>
    </row>
    <row r="90" spans="3:15" x14ac:dyDescent="0.2">
      <c r="C90" t="str">
        <f>C87</f>
        <v xml:space="preserve">Terminal growth rate </v>
      </c>
      <c r="E90" s="18">
        <f>E87</f>
        <v>0.02</v>
      </c>
    </row>
    <row r="91" spans="3:15" x14ac:dyDescent="0.2">
      <c r="C91" s="6" t="s">
        <v>46</v>
      </c>
      <c r="D91" s="6"/>
      <c r="E91" s="20">
        <f>E88/(E89-E90)</f>
        <v>428.68184379749272</v>
      </c>
    </row>
    <row r="92" spans="3:15" x14ac:dyDescent="0.2"/>
    <row r="93" spans="3:15" x14ac:dyDescent="0.2">
      <c r="C93" s="81" t="s">
        <v>90</v>
      </c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3:15" x14ac:dyDescent="0.2"/>
    <row r="95" spans="3:15" x14ac:dyDescent="0.2">
      <c r="C95" s="81" t="s">
        <v>50</v>
      </c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3:15" x14ac:dyDescent="0.2"/>
    <row r="97" spans="3:15" x14ac:dyDescent="0.2">
      <c r="C97" t="str">
        <f>C7</f>
        <v>Sales</v>
      </c>
      <c r="E97" s="14">
        <f t="shared" ref="E97:O97" si="30">E7</f>
        <v>100</v>
      </c>
      <c r="F97" s="12">
        <f t="shared" si="30"/>
        <v>104.70000000000002</v>
      </c>
      <c r="G97" s="12">
        <f t="shared" si="30"/>
        <v>109.30680000000002</v>
      </c>
      <c r="H97" s="12">
        <f t="shared" si="30"/>
        <v>113.78837880000002</v>
      </c>
      <c r="I97" s="12">
        <f t="shared" si="30"/>
        <v>118.11233719440003</v>
      </c>
      <c r="J97" s="12">
        <f t="shared" si="30"/>
        <v>122.24626899620405</v>
      </c>
      <c r="K97" s="12">
        <f t="shared" si="30"/>
        <v>126.15814960408258</v>
      </c>
      <c r="L97" s="12">
        <f t="shared" si="30"/>
        <v>129.81673594260096</v>
      </c>
      <c r="M97" s="12">
        <f t="shared" si="30"/>
        <v>133.19197107710858</v>
      </c>
      <c r="N97" s="12">
        <f t="shared" si="30"/>
        <v>136.25538641188206</v>
      </c>
      <c r="O97" s="12">
        <f t="shared" si="30"/>
        <v>138.9804941401197</v>
      </c>
    </row>
    <row r="98" spans="3:15" x14ac:dyDescent="0.2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pans="3:15" x14ac:dyDescent="0.2">
      <c r="C99" t="s">
        <v>55</v>
      </c>
      <c r="E99" s="2"/>
      <c r="F99" s="12">
        <f>E102</f>
        <v>60</v>
      </c>
      <c r="G99" s="12">
        <f t="shared" ref="G99:O99" si="31">F102</f>
        <v>62.98395</v>
      </c>
      <c r="H99" s="12">
        <f t="shared" si="31"/>
        <v>65.935233600000004</v>
      </c>
      <c r="I99" s="12">
        <f t="shared" si="31"/>
        <v>68.836837259399999</v>
      </c>
      <c r="J99" s="12">
        <f t="shared" si="31"/>
        <v>71.671533352065609</v>
      </c>
      <c r="K99" s="12">
        <f t="shared" si="31"/>
        <v>74.422074404480199</v>
      </c>
      <c r="L99" s="12">
        <f t="shared" si="31"/>
        <v>77.071395546165931</v>
      </c>
      <c r="M99" s="12">
        <f t="shared" si="31"/>
        <v>79.602821897046653</v>
      </c>
      <c r="N99" s="12">
        <f t="shared" si="31"/>
        <v>82.000277376434596</v>
      </c>
      <c r="O99" s="12">
        <f t="shared" si="31"/>
        <v>84.24849125223065</v>
      </c>
    </row>
    <row r="100" spans="3:15" x14ac:dyDescent="0.2">
      <c r="C100" t="s">
        <v>51</v>
      </c>
      <c r="E100" s="3"/>
      <c r="F100" s="12">
        <f t="shared" ref="F100:O100" si="32">F30*-1</f>
        <v>5.0779500000000004</v>
      </c>
      <c r="G100" s="12">
        <f t="shared" si="32"/>
        <v>5.1374196000000012</v>
      </c>
      <c r="H100" s="12">
        <f t="shared" si="32"/>
        <v>5.177371235399999</v>
      </c>
      <c r="I100" s="12">
        <f t="shared" si="32"/>
        <v>5.1969428365536006</v>
      </c>
      <c r="J100" s="12">
        <f t="shared" si="32"/>
        <v>5.1954664323386721</v>
      </c>
      <c r="K100" s="12">
        <f t="shared" si="32"/>
        <v>5.1724841337673855</v>
      </c>
      <c r="L100" s="12">
        <f t="shared" si="32"/>
        <v>5.1277610697327383</v>
      </c>
      <c r="M100" s="12">
        <f t="shared" si="32"/>
        <v>5.0612949009301262</v>
      </c>
      <c r="N100" s="12">
        <f t="shared" si="32"/>
        <v>4.9733216040336954</v>
      </c>
      <c r="O100" s="12">
        <f t="shared" si="32"/>
        <v>4.8643172949041897</v>
      </c>
    </row>
    <row r="101" spans="3:15" x14ac:dyDescent="0.2">
      <c r="C101" t="s">
        <v>52</v>
      </c>
      <c r="E101" s="1"/>
      <c r="F101" s="12">
        <f t="shared" ref="F101:O101" si="33">F12</f>
        <v>-2.0940000000000003</v>
      </c>
      <c r="G101" s="12">
        <f t="shared" si="33"/>
        <v>-2.1861360000000007</v>
      </c>
      <c r="H101" s="12">
        <f t="shared" si="33"/>
        <v>-2.2757675760000002</v>
      </c>
      <c r="I101" s="12">
        <f t="shared" si="33"/>
        <v>-2.3622467438880004</v>
      </c>
      <c r="J101" s="12">
        <f t="shared" si="33"/>
        <v>-2.4449253799240811</v>
      </c>
      <c r="K101" s="12">
        <f t="shared" si="33"/>
        <v>-2.5231629920816516</v>
      </c>
      <c r="L101" s="12">
        <f t="shared" si="33"/>
        <v>-2.5963347188520194</v>
      </c>
      <c r="M101" s="12">
        <f t="shared" si="33"/>
        <v>-2.6638394215421717</v>
      </c>
      <c r="N101" s="12">
        <f t="shared" si="33"/>
        <v>-2.7251077282376412</v>
      </c>
      <c r="O101" s="12">
        <f t="shared" si="33"/>
        <v>-2.7796098828023941</v>
      </c>
    </row>
    <row r="102" spans="3:15" x14ac:dyDescent="0.2">
      <c r="C102" s="5" t="s">
        <v>56</v>
      </c>
      <c r="D102" s="5"/>
      <c r="E102" s="43">
        <v>60</v>
      </c>
      <c r="F102" s="13">
        <f>SUM(F99:F101)</f>
        <v>62.98395</v>
      </c>
      <c r="G102" s="13">
        <f t="shared" ref="G102:O102" si="34">SUM(G99:G101)</f>
        <v>65.935233600000004</v>
      </c>
      <c r="H102" s="13">
        <f t="shared" si="34"/>
        <v>68.836837259399999</v>
      </c>
      <c r="I102" s="13">
        <f t="shared" si="34"/>
        <v>71.671533352065609</v>
      </c>
      <c r="J102" s="13">
        <f t="shared" si="34"/>
        <v>74.422074404480199</v>
      </c>
      <c r="K102" s="13">
        <f t="shared" si="34"/>
        <v>77.071395546165931</v>
      </c>
      <c r="L102" s="13">
        <f t="shared" si="34"/>
        <v>79.602821897046653</v>
      </c>
      <c r="M102" s="13">
        <f t="shared" si="34"/>
        <v>82.000277376434596</v>
      </c>
      <c r="N102" s="13">
        <f t="shared" si="34"/>
        <v>84.24849125223065</v>
      </c>
      <c r="O102" s="13">
        <f t="shared" si="34"/>
        <v>86.333198664332457</v>
      </c>
    </row>
    <row r="103" spans="3:15" x14ac:dyDescent="0.2">
      <c r="E103" s="31"/>
      <c r="F103" s="12"/>
      <c r="G103" s="12"/>
      <c r="H103" s="12"/>
      <c r="I103" s="12"/>
      <c r="J103" s="12"/>
      <c r="K103" s="12"/>
      <c r="L103" s="12"/>
      <c r="M103" s="12"/>
      <c r="N103" s="12"/>
      <c r="O103" s="12"/>
    </row>
    <row r="104" spans="3:15" x14ac:dyDescent="0.2">
      <c r="C104" t="str">
        <f>C20</f>
        <v>Inventories</v>
      </c>
      <c r="E104" s="14">
        <f t="shared" ref="E104:O104" si="35">E20</f>
        <v>27.61643835616438</v>
      </c>
      <c r="F104" s="12">
        <f t="shared" si="35"/>
        <v>29.040050958904118</v>
      </c>
      <c r="G104" s="12">
        <f t="shared" si="35"/>
        <v>30.447783478356172</v>
      </c>
      <c r="H104" s="12">
        <f t="shared" si="35"/>
        <v>31.83019466366466</v>
      </c>
      <c r="I104" s="12">
        <f t="shared" si="35"/>
        <v>33.177593720184781</v>
      </c>
      <c r="J104" s="12">
        <f t="shared" si="35"/>
        <v>34.480146282627963</v>
      </c>
      <c r="K104" s="12">
        <f t="shared" si="35"/>
        <v>35.727987967876189</v>
      </c>
      <c r="L104" s="12">
        <f t="shared" si="35"/>
        <v>36.911343807109617</v>
      </c>
      <c r="M104" s="12">
        <f t="shared" si="35"/>
        <v>38.020651645112586</v>
      </c>
      <c r="N104" s="12">
        <f t="shared" si="35"/>
        <v>39.046687418931612</v>
      </c>
      <c r="O104" s="12">
        <f t="shared" si="35"/>
        <v>39.980690095102922</v>
      </c>
    </row>
    <row r="105" spans="3:15" x14ac:dyDescent="0.2">
      <c r="C105" t="str">
        <f>C23</f>
        <v xml:space="preserve">Receivables </v>
      </c>
      <c r="E105" s="14">
        <f t="shared" ref="E105:O105" si="36">E23</f>
        <v>32.87671232876712</v>
      </c>
      <c r="F105" s="12">
        <f t="shared" si="36"/>
        <v>34.708767123287679</v>
      </c>
      <c r="G105" s="12">
        <f t="shared" si="36"/>
        <v>36.535423561643846</v>
      </c>
      <c r="H105" s="12">
        <f t="shared" si="36"/>
        <v>38.345124910684937</v>
      </c>
      <c r="I105" s="12">
        <f t="shared" si="36"/>
        <v>40.125835101659185</v>
      </c>
      <c r="J105" s="12">
        <f t="shared" si="36"/>
        <v>41.865160615138372</v>
      </c>
      <c r="K105" s="12">
        <f t="shared" si="36"/>
        <v>43.550484520861389</v>
      </c>
      <c r="L105" s="12">
        <f t="shared" si="36"/>
        <v>45.169110862220059</v>
      </c>
      <c r="M105" s="12">
        <f t="shared" si="36"/>
        <v>46.708417254438075</v>
      </c>
      <c r="N105" s="12">
        <f t="shared" si="36"/>
        <v>48.156013279815852</v>
      </c>
      <c r="O105" s="12">
        <f t="shared" si="36"/>
        <v>49.499902022508387</v>
      </c>
    </row>
    <row r="106" spans="3:15" x14ac:dyDescent="0.2">
      <c r="C106" t="str">
        <f>C26</f>
        <v xml:space="preserve">Payables </v>
      </c>
      <c r="E106" s="14">
        <f t="shared" ref="E106:O106" si="37">E26*-1</f>
        <v>-19.726027397260275</v>
      </c>
      <c r="F106" s="12">
        <f t="shared" si="37"/>
        <v>-20.389823013698635</v>
      </c>
      <c r="G106" s="12">
        <f t="shared" si="37"/>
        <v>-21.013259020273978</v>
      </c>
      <c r="H106" s="12">
        <f t="shared" si="37"/>
        <v>-21.591111065562743</v>
      </c>
      <c r="I106" s="12">
        <f t="shared" si="37"/>
        <v>-22.11839581345652</v>
      </c>
      <c r="J106" s="12">
        <f t="shared" si="37"/>
        <v>-22.590440667928664</v>
      </c>
      <c r="K106" s="12">
        <f t="shared" si="37"/>
        <v>-23.002951157399735</v>
      </c>
      <c r="L106" s="12">
        <f t="shared" si="37"/>
        <v>-23.352074653477516</v>
      </c>
      <c r="M106" s="12">
        <f t="shared" si="37"/>
        <v>-23.634459130745665</v>
      </c>
      <c r="N106" s="12">
        <f t="shared" si="37"/>
        <v>-23.847305739079037</v>
      </c>
      <c r="O106" s="12">
        <f t="shared" si="37"/>
        <v>-23.988414057061753</v>
      </c>
    </row>
    <row r="107" spans="3:15" x14ac:dyDescent="0.2">
      <c r="C107" s="5" t="s">
        <v>8</v>
      </c>
      <c r="D107" s="5"/>
      <c r="E107" s="15">
        <f>SUM(E104:E106)</f>
        <v>40.767123287671225</v>
      </c>
      <c r="F107" s="13">
        <f t="shared" ref="F107:O107" si="38">SUM(F104:F106)</f>
        <v>43.358995068493158</v>
      </c>
      <c r="G107" s="13">
        <f t="shared" si="38"/>
        <v>45.969948019726047</v>
      </c>
      <c r="H107" s="13">
        <f t="shared" si="38"/>
        <v>48.584208508786858</v>
      </c>
      <c r="I107" s="13">
        <f t="shared" si="38"/>
        <v>51.18503300838745</v>
      </c>
      <c r="J107" s="13">
        <f t="shared" si="38"/>
        <v>53.754866229837674</v>
      </c>
      <c r="K107" s="13">
        <f t="shared" si="38"/>
        <v>56.275521331337842</v>
      </c>
      <c r="L107" s="13">
        <f t="shared" si="38"/>
        <v>58.728380015852153</v>
      </c>
      <c r="M107" s="13">
        <f t="shared" si="38"/>
        <v>61.094609768805</v>
      </c>
      <c r="N107" s="13">
        <f t="shared" si="38"/>
        <v>63.35539495966843</v>
      </c>
      <c r="O107" s="13">
        <f t="shared" si="38"/>
        <v>65.492178060549548</v>
      </c>
    </row>
    <row r="108" spans="3:15" x14ac:dyDescent="0.2">
      <c r="E108" s="44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3:15" x14ac:dyDescent="0.2">
      <c r="C109" s="5" t="s">
        <v>58</v>
      </c>
      <c r="D109" s="5"/>
      <c r="E109" s="15">
        <f>E102+E107</f>
        <v>100.76712328767123</v>
      </c>
      <c r="F109" s="13">
        <f t="shared" ref="F109:O109" si="39">F102+F107</f>
        <v>106.34294506849315</v>
      </c>
      <c r="G109" s="13">
        <f t="shared" si="39"/>
        <v>111.90518161972605</v>
      </c>
      <c r="H109" s="13">
        <f t="shared" si="39"/>
        <v>117.42104576818686</v>
      </c>
      <c r="I109" s="13">
        <f t="shared" si="39"/>
        <v>122.85656636045306</v>
      </c>
      <c r="J109" s="13">
        <f t="shared" si="39"/>
        <v>128.17694063431787</v>
      </c>
      <c r="K109" s="13">
        <f t="shared" si="39"/>
        <v>133.34691687750376</v>
      </c>
      <c r="L109" s="13">
        <f t="shared" si="39"/>
        <v>138.33120191289879</v>
      </c>
      <c r="M109" s="13">
        <f t="shared" si="39"/>
        <v>143.0948871452396</v>
      </c>
      <c r="N109" s="13">
        <f t="shared" si="39"/>
        <v>147.60388621189907</v>
      </c>
      <c r="O109" s="13">
        <f t="shared" si="39"/>
        <v>151.82537672488201</v>
      </c>
    </row>
    <row r="110" spans="3:15" x14ac:dyDescent="0.2">
      <c r="E110" s="4"/>
    </row>
    <row r="111" spans="3:15" x14ac:dyDescent="0.2">
      <c r="C111" s="6" t="s">
        <v>50</v>
      </c>
      <c r="D111" s="6"/>
      <c r="E111" s="45">
        <f t="shared" ref="E111:O111" si="40">E97/E109</f>
        <v>0.99238716693855367</v>
      </c>
      <c r="F111" s="32">
        <f t="shared" si="40"/>
        <v>0.98455050245754483</v>
      </c>
      <c r="G111" s="32">
        <f t="shared" si="40"/>
        <v>0.97678050665646743</v>
      </c>
      <c r="H111" s="32">
        <f t="shared" si="40"/>
        <v>0.96906289716275851</v>
      </c>
      <c r="I111" s="32">
        <f t="shared" si="40"/>
        <v>0.96138400000425073</v>
      </c>
      <c r="J111" s="32">
        <f t="shared" si="40"/>
        <v>0.95373058828862423</v>
      </c>
      <c r="K111" s="32">
        <f t="shared" si="40"/>
        <v>0.94608973764256599</v>
      </c>
      <c r="L111" s="32">
        <f t="shared" si="40"/>
        <v>0.93844869521440988</v>
      </c>
      <c r="M111" s="32">
        <f t="shared" si="40"/>
        <v>0.93079475957740065</v>
      </c>
      <c r="N111" s="32">
        <f t="shared" si="40"/>
        <v>0.92311516931386761</v>
      </c>
      <c r="O111" s="32">
        <f t="shared" si="40"/>
        <v>0.91539699843433875</v>
      </c>
    </row>
    <row r="112" spans="3:15" x14ac:dyDescent="0.2"/>
    <row r="113" spans="3:15" x14ac:dyDescent="0.2">
      <c r="C113" s="81" t="s">
        <v>57</v>
      </c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3:15" x14ac:dyDescent="0.2"/>
    <row r="115" spans="3:15" x14ac:dyDescent="0.2">
      <c r="C115" t="str">
        <f>C17</f>
        <v>NOPAT</v>
      </c>
      <c r="E115" s="14">
        <f t="shared" ref="E115:O115" si="41">E17</f>
        <v>19.759999999999998</v>
      </c>
      <c r="F115" s="12">
        <f t="shared" si="41"/>
        <v>20.820432600000004</v>
      </c>
      <c r="G115" s="12">
        <f t="shared" si="41"/>
        <v>21.873602361600003</v>
      </c>
      <c r="H115" s="12">
        <f t="shared" si="41"/>
        <v>22.912655531925608</v>
      </c>
      <c r="I115" s="12">
        <f t="shared" si="41"/>
        <v>23.930504414283007</v>
      </c>
      <c r="J115" s="12">
        <f t="shared" si="41"/>
        <v>24.919901934876201</v>
      </c>
      <c r="K115" s="12">
        <f t="shared" si="41"/>
        <v>25.873522586002089</v>
      </c>
      <c r="L115" s="12">
        <f t="shared" si="41"/>
        <v>26.784048593149322</v>
      </c>
      <c r="M115" s="12">
        <f t="shared" si="41"/>
        <v>27.644259980996047</v>
      </c>
      <c r="N115" s="12">
        <f t="shared" si="41"/>
        <v>28.44712706429992</v>
      </c>
      <c r="O115" s="12">
        <f t="shared" si="41"/>
        <v>29.185903769425146</v>
      </c>
    </row>
    <row r="116" spans="3:15" x14ac:dyDescent="0.2">
      <c r="C116" t="str">
        <f>C109</f>
        <v>Net Operating Assets (or Invested Capital)</v>
      </c>
      <c r="E116" s="14">
        <f t="shared" ref="E116:O116" si="42">E109</f>
        <v>100.76712328767123</v>
      </c>
      <c r="F116" s="12">
        <f t="shared" si="42"/>
        <v>106.34294506849315</v>
      </c>
      <c r="G116" s="12">
        <f t="shared" si="42"/>
        <v>111.90518161972605</v>
      </c>
      <c r="H116" s="12">
        <f t="shared" si="42"/>
        <v>117.42104576818686</v>
      </c>
      <c r="I116" s="12">
        <f t="shared" si="42"/>
        <v>122.85656636045306</v>
      </c>
      <c r="J116" s="12">
        <f t="shared" si="42"/>
        <v>128.17694063431787</v>
      </c>
      <c r="K116" s="12">
        <f t="shared" si="42"/>
        <v>133.34691687750376</v>
      </c>
      <c r="L116" s="12">
        <f t="shared" si="42"/>
        <v>138.33120191289879</v>
      </c>
      <c r="M116" s="12">
        <f t="shared" si="42"/>
        <v>143.0948871452396</v>
      </c>
      <c r="N116" s="12">
        <f t="shared" si="42"/>
        <v>147.60388621189907</v>
      </c>
      <c r="O116" s="12">
        <f t="shared" si="42"/>
        <v>151.82537672488201</v>
      </c>
    </row>
    <row r="117" spans="3:15" x14ac:dyDescent="0.2">
      <c r="C117" s="6" t="s">
        <v>57</v>
      </c>
      <c r="D117" s="6"/>
      <c r="E117" s="46">
        <f>E115/E116</f>
        <v>0.19609570418705818</v>
      </c>
      <c r="F117" s="33">
        <f t="shared" ref="F117:O117" si="43">F115/F116</f>
        <v>0.19578574381770245</v>
      </c>
      <c r="G117" s="33">
        <f t="shared" si="43"/>
        <v>0.19546550074803901</v>
      </c>
      <c r="H117" s="33">
        <f t="shared" si="43"/>
        <v>0.1951324430984874</v>
      </c>
      <c r="I117" s="33">
        <f t="shared" si="43"/>
        <v>0.19478408947286127</v>
      </c>
      <c r="J117" s="33">
        <f t="shared" si="43"/>
        <v>0.19441798042263608</v>
      </c>
      <c r="K117" s="33">
        <f t="shared" si="43"/>
        <v>0.19403165211363857</v>
      </c>
      <c r="L117" s="33">
        <f t="shared" si="43"/>
        <v>0.19362261169402753</v>
      </c>
      <c r="M117" s="33">
        <f t="shared" si="43"/>
        <v>0.19318831393980873</v>
      </c>
      <c r="N117" s="33">
        <f t="shared" si="43"/>
        <v>0.19272613881901071</v>
      </c>
      <c r="O117" s="33">
        <f t="shared" si="43"/>
        <v>0.19223336967121119</v>
      </c>
    </row>
    <row r="118" spans="3:15" x14ac:dyDescent="0.2"/>
    <row r="119" spans="3:15" x14ac:dyDescent="0.2">
      <c r="C119" s="81" t="s">
        <v>66</v>
      </c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3:15" x14ac:dyDescent="0.2"/>
    <row r="121" spans="3:15" x14ac:dyDescent="0.2">
      <c r="C121" t="str">
        <f>C14</f>
        <v>EBIT</v>
      </c>
      <c r="E121" s="14">
        <f t="shared" ref="E121:O121" si="44">E14</f>
        <v>26</v>
      </c>
      <c r="F121" s="12">
        <f t="shared" si="44"/>
        <v>27.431400000000004</v>
      </c>
      <c r="G121" s="12">
        <f t="shared" si="44"/>
        <v>28.856995200000004</v>
      </c>
      <c r="H121" s="12">
        <f t="shared" si="44"/>
        <v>30.267708760800012</v>
      </c>
      <c r="I121" s="12">
        <f t="shared" si="44"/>
        <v>31.654106368099214</v>
      </c>
      <c r="J121" s="12">
        <f t="shared" si="44"/>
        <v>33.006492628975103</v>
      </c>
      <c r="K121" s="12">
        <f t="shared" si="44"/>
        <v>34.315016692310465</v>
      </c>
      <c r="L121" s="12">
        <f t="shared" si="44"/>
        <v>35.569785648272671</v>
      </c>
      <c r="M121" s="12">
        <f t="shared" si="44"/>
        <v>36.760984017281977</v>
      </c>
      <c r="N121" s="12">
        <f t="shared" si="44"/>
        <v>37.878997422503225</v>
      </c>
      <c r="O121" s="12">
        <f t="shared" si="44"/>
        <v>38.914538359233525</v>
      </c>
    </row>
    <row r="122" spans="3:15" x14ac:dyDescent="0.2">
      <c r="C122" t="str">
        <f>C97</f>
        <v>Sales</v>
      </c>
      <c r="E122" s="14">
        <f t="shared" ref="E122:O122" si="45">E7</f>
        <v>100</v>
      </c>
      <c r="F122" s="12">
        <f t="shared" si="45"/>
        <v>104.70000000000002</v>
      </c>
      <c r="G122" s="12">
        <f t="shared" si="45"/>
        <v>109.30680000000002</v>
      </c>
      <c r="H122" s="12">
        <f t="shared" si="45"/>
        <v>113.78837880000002</v>
      </c>
      <c r="I122" s="12">
        <f t="shared" si="45"/>
        <v>118.11233719440003</v>
      </c>
      <c r="J122" s="12">
        <f t="shared" si="45"/>
        <v>122.24626899620405</v>
      </c>
      <c r="K122" s="12">
        <f t="shared" si="45"/>
        <v>126.15814960408258</v>
      </c>
      <c r="L122" s="12">
        <f t="shared" si="45"/>
        <v>129.81673594260096</v>
      </c>
      <c r="M122" s="12">
        <f t="shared" si="45"/>
        <v>133.19197107710858</v>
      </c>
      <c r="N122" s="12">
        <f t="shared" si="45"/>
        <v>136.25538641188206</v>
      </c>
      <c r="O122" s="12">
        <f t="shared" si="45"/>
        <v>138.9804941401197</v>
      </c>
    </row>
    <row r="123" spans="3:15" x14ac:dyDescent="0.2">
      <c r="C123" s="5" t="s">
        <v>10</v>
      </c>
      <c r="D123" s="5"/>
      <c r="E123" s="47">
        <f>E121/E122</f>
        <v>0.26</v>
      </c>
      <c r="F123" s="19">
        <f t="shared" ref="F123:O123" si="46">F121/F122</f>
        <v>0.26200000000000001</v>
      </c>
      <c r="G123" s="19">
        <f t="shared" si="46"/>
        <v>0.26399999999999996</v>
      </c>
      <c r="H123" s="19">
        <f t="shared" si="46"/>
        <v>0.26600000000000007</v>
      </c>
      <c r="I123" s="19">
        <f t="shared" si="46"/>
        <v>0.26800000000000007</v>
      </c>
      <c r="J123" s="19">
        <f t="shared" si="46"/>
        <v>0.27000000000000007</v>
      </c>
      <c r="K123" s="19">
        <f t="shared" si="46"/>
        <v>0.27200000000000002</v>
      </c>
      <c r="L123" s="19">
        <f t="shared" si="46"/>
        <v>0.27400000000000008</v>
      </c>
      <c r="M123" s="19">
        <f t="shared" si="46"/>
        <v>0.27600000000000008</v>
      </c>
      <c r="N123" s="19">
        <f t="shared" si="46"/>
        <v>0.27800000000000008</v>
      </c>
      <c r="O123" s="19">
        <f t="shared" si="46"/>
        <v>0.28000000000000008</v>
      </c>
    </row>
    <row r="124" spans="3:15" x14ac:dyDescent="0.2"/>
    <row r="125" spans="3:15" x14ac:dyDescent="0.2">
      <c r="C125" t="str">
        <f>C16</f>
        <v>Effective tax rates (ETRs) on EBIT</v>
      </c>
      <c r="E125" s="16">
        <f t="shared" ref="E125:O125" si="47">E16</f>
        <v>0.24000000000000002</v>
      </c>
      <c r="F125" s="18">
        <f t="shared" si="47"/>
        <v>0.24100000000000002</v>
      </c>
      <c r="G125" s="18">
        <f t="shared" si="47"/>
        <v>0.24200000000000002</v>
      </c>
      <c r="H125" s="18">
        <f t="shared" si="47"/>
        <v>0.24300000000000002</v>
      </c>
      <c r="I125" s="18">
        <f t="shared" si="47"/>
        <v>0.24400000000000002</v>
      </c>
      <c r="J125" s="18">
        <f t="shared" si="47"/>
        <v>0.24500000000000002</v>
      </c>
      <c r="K125" s="18">
        <f t="shared" si="47"/>
        <v>0.24600000000000002</v>
      </c>
      <c r="L125" s="18">
        <f t="shared" si="47"/>
        <v>0.24700000000000003</v>
      </c>
      <c r="M125" s="18">
        <f t="shared" si="47"/>
        <v>0.24800000000000003</v>
      </c>
      <c r="N125" s="18">
        <f t="shared" si="47"/>
        <v>0.249</v>
      </c>
      <c r="O125" s="18">
        <f t="shared" si="47"/>
        <v>0.25</v>
      </c>
    </row>
    <row r="126" spans="3:15" x14ac:dyDescent="0.2"/>
    <row r="127" spans="3:15" x14ac:dyDescent="0.2">
      <c r="C127" t="str">
        <f>C97</f>
        <v>Sales</v>
      </c>
      <c r="E127" s="14">
        <f>E122</f>
        <v>100</v>
      </c>
      <c r="F127" s="12">
        <f t="shared" ref="F127:O127" si="48">F122</f>
        <v>104.70000000000002</v>
      </c>
      <c r="G127" s="12">
        <f t="shared" si="48"/>
        <v>109.30680000000002</v>
      </c>
      <c r="H127" s="12">
        <f t="shared" si="48"/>
        <v>113.78837880000002</v>
      </c>
      <c r="I127" s="12">
        <f t="shared" si="48"/>
        <v>118.11233719440003</v>
      </c>
      <c r="J127" s="12">
        <f t="shared" si="48"/>
        <v>122.24626899620405</v>
      </c>
      <c r="K127" s="12">
        <f t="shared" si="48"/>
        <v>126.15814960408258</v>
      </c>
      <c r="L127" s="12">
        <f t="shared" si="48"/>
        <v>129.81673594260096</v>
      </c>
      <c r="M127" s="12">
        <f t="shared" si="48"/>
        <v>133.19197107710858</v>
      </c>
      <c r="N127" s="12">
        <f t="shared" si="48"/>
        <v>136.25538641188206</v>
      </c>
      <c r="O127" s="12">
        <f t="shared" si="48"/>
        <v>138.9804941401197</v>
      </c>
    </row>
    <row r="128" spans="3:15" x14ac:dyDescent="0.2">
      <c r="C128" t="str">
        <f>C116</f>
        <v>Net Operating Assets (or Invested Capital)</v>
      </c>
      <c r="E128" s="14">
        <f t="shared" ref="E128:O128" si="49">E116</f>
        <v>100.76712328767123</v>
      </c>
      <c r="F128" s="12">
        <f t="shared" si="49"/>
        <v>106.34294506849315</v>
      </c>
      <c r="G128" s="12">
        <f t="shared" si="49"/>
        <v>111.90518161972605</v>
      </c>
      <c r="H128" s="12">
        <f t="shared" si="49"/>
        <v>117.42104576818686</v>
      </c>
      <c r="I128" s="12">
        <f t="shared" si="49"/>
        <v>122.85656636045306</v>
      </c>
      <c r="J128" s="12">
        <f t="shared" si="49"/>
        <v>128.17694063431787</v>
      </c>
      <c r="K128" s="12">
        <f t="shared" si="49"/>
        <v>133.34691687750376</v>
      </c>
      <c r="L128" s="12">
        <f t="shared" si="49"/>
        <v>138.33120191289879</v>
      </c>
      <c r="M128" s="12">
        <f t="shared" si="49"/>
        <v>143.0948871452396</v>
      </c>
      <c r="N128" s="12">
        <f t="shared" si="49"/>
        <v>147.60388621189907</v>
      </c>
      <c r="O128" s="12">
        <f t="shared" si="49"/>
        <v>151.82537672488201</v>
      </c>
    </row>
    <row r="129" spans="3:15" x14ac:dyDescent="0.2">
      <c r="C129" s="48" t="str">
        <f>C111</f>
        <v>Asset (or capital) turnover</v>
      </c>
      <c r="D129" s="48"/>
      <c r="E129" s="49">
        <f>E127/E128</f>
        <v>0.99238716693855367</v>
      </c>
      <c r="F129" s="50">
        <f t="shared" ref="F129:O129" si="50">F127/F128</f>
        <v>0.98455050245754483</v>
      </c>
      <c r="G129" s="50">
        <f t="shared" si="50"/>
        <v>0.97678050665646743</v>
      </c>
      <c r="H129" s="50">
        <f t="shared" si="50"/>
        <v>0.96906289716275851</v>
      </c>
      <c r="I129" s="50">
        <f t="shared" si="50"/>
        <v>0.96138400000425073</v>
      </c>
      <c r="J129" s="50">
        <f t="shared" si="50"/>
        <v>0.95373058828862423</v>
      </c>
      <c r="K129" s="50">
        <f t="shared" si="50"/>
        <v>0.94608973764256599</v>
      </c>
      <c r="L129" s="50">
        <f t="shared" si="50"/>
        <v>0.93844869521440988</v>
      </c>
      <c r="M129" s="50">
        <f t="shared" si="50"/>
        <v>0.93079475957740065</v>
      </c>
      <c r="N129" s="50">
        <f t="shared" si="50"/>
        <v>0.92311516931386761</v>
      </c>
      <c r="O129" s="50">
        <f t="shared" si="50"/>
        <v>0.91539699843433875</v>
      </c>
    </row>
    <row r="130" spans="3:15" x14ac:dyDescent="0.2">
      <c r="E130" s="4"/>
    </row>
    <row r="131" spans="3:15" x14ac:dyDescent="0.2">
      <c r="C131" s="6" t="str">
        <f>C117</f>
        <v>Return on Invested Capital (RoIC)</v>
      </c>
      <c r="D131" s="6"/>
      <c r="E131" s="46">
        <f>E123*(1-E125)*E129</f>
        <v>0.19609570418705821</v>
      </c>
      <c r="F131" s="33">
        <f t="shared" ref="F131:O131" si="51">F123*(1-F125)*F129</f>
        <v>0.19578574381770245</v>
      </c>
      <c r="G131" s="33">
        <f t="shared" si="51"/>
        <v>0.19546550074803898</v>
      </c>
      <c r="H131" s="33">
        <f t="shared" si="51"/>
        <v>0.19513244309848743</v>
      </c>
      <c r="I131" s="33">
        <f t="shared" si="51"/>
        <v>0.1947840894728613</v>
      </c>
      <c r="J131" s="33">
        <f t="shared" si="51"/>
        <v>0.19441798042263611</v>
      </c>
      <c r="K131" s="33">
        <f t="shared" si="51"/>
        <v>0.1940316521136386</v>
      </c>
      <c r="L131" s="33">
        <f t="shared" si="51"/>
        <v>0.19362261169402753</v>
      </c>
      <c r="M131" s="33">
        <f t="shared" si="51"/>
        <v>0.19318831393980873</v>
      </c>
      <c r="N131" s="33">
        <f t="shared" si="51"/>
        <v>0.19272613881901068</v>
      </c>
      <c r="O131" s="33">
        <f t="shared" si="51"/>
        <v>0.19223336967121121</v>
      </c>
    </row>
    <row r="132" spans="3:15" x14ac:dyDescent="0.2"/>
    <row r="133" spans="3:15" x14ac:dyDescent="0.2">
      <c r="C133" t="s">
        <v>4</v>
      </c>
      <c r="E133" s="17">
        <f t="shared" ref="E133:O133" si="52">ROUND(E117-E131,5)</f>
        <v>0</v>
      </c>
      <c r="F133" s="17">
        <f t="shared" si="52"/>
        <v>0</v>
      </c>
      <c r="G133" s="17">
        <f t="shared" si="52"/>
        <v>0</v>
      </c>
      <c r="H133" s="17">
        <f t="shared" si="52"/>
        <v>0</v>
      </c>
      <c r="I133" s="17">
        <f t="shared" si="52"/>
        <v>0</v>
      </c>
      <c r="J133" s="17">
        <f t="shared" si="52"/>
        <v>0</v>
      </c>
      <c r="K133" s="17">
        <f t="shared" si="52"/>
        <v>0</v>
      </c>
      <c r="L133" s="17">
        <f t="shared" si="52"/>
        <v>0</v>
      </c>
      <c r="M133" s="17">
        <f t="shared" si="52"/>
        <v>0</v>
      </c>
      <c r="N133" s="17">
        <f t="shared" si="52"/>
        <v>0</v>
      </c>
      <c r="O133" s="17">
        <f t="shared" si="52"/>
        <v>0</v>
      </c>
    </row>
    <row r="134" spans="3:15" x14ac:dyDescent="0.2"/>
    <row r="135" spans="3:15" x14ac:dyDescent="0.2">
      <c r="C135" s="81" t="str">
        <f>C82&amp;" - sensitivity"</f>
        <v>Weighted average cost of capital - sensitivity</v>
      </c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3:15" x14ac:dyDescent="0.2"/>
    <row r="137" spans="3:15" x14ac:dyDescent="0.2">
      <c r="G137" s="8" t="str">
        <f>$C$65&amp;" sensitivity"</f>
        <v>Implied share price (USD) sensitivity</v>
      </c>
    </row>
    <row r="138" spans="3:15" x14ac:dyDescent="0.2"/>
    <row r="139" spans="3:15" x14ac:dyDescent="0.2">
      <c r="I139" s="37" t="str">
        <f>$C$82</f>
        <v>Weighted average cost of capital</v>
      </c>
    </row>
    <row r="140" spans="3:15" x14ac:dyDescent="0.2">
      <c r="G140" s="35">
        <v>8.4400000000000003E-2</v>
      </c>
      <c r="H140" s="35">
        <v>8.1900000000000001E-2</v>
      </c>
      <c r="I140" s="36">
        <v>7.9399999999999998E-2</v>
      </c>
      <c r="J140" s="35">
        <v>7.6899999999999996E-2</v>
      </c>
      <c r="K140" s="35">
        <v>7.4399999999999994E-2</v>
      </c>
    </row>
    <row r="141" spans="3:15" x14ac:dyDescent="0.2">
      <c r="F141" s="51">
        <f>$E$65</f>
        <v>25.168257744679071</v>
      </c>
      <c r="G141" s="52">
        <f t="dataTable" ref="G141:K141" dt2D="0" dtr="1" r1="E82"/>
        <v>22.441995026456212</v>
      </c>
      <c r="H141" s="53">
        <v>23.749534567268263</v>
      </c>
      <c r="I141" s="38">
        <v>25.168257744679071</v>
      </c>
      <c r="J141" s="53">
        <v>26.712842913930881</v>
      </c>
      <c r="K141" s="54">
        <v>28.400667225784932</v>
      </c>
    </row>
    <row r="142" spans="3:15" x14ac:dyDescent="0.2"/>
    <row r="143" spans="3:15" x14ac:dyDescent="0.2">
      <c r="C143" s="81" t="str">
        <f>C87&amp;" - sensitivity"</f>
        <v>Terminal growth rate  - sensitivity</v>
      </c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3:15" x14ac:dyDescent="0.2"/>
    <row r="145" spans="3:15" x14ac:dyDescent="0.2">
      <c r="G145" s="8" t="str">
        <f>$C$65&amp;" sensitivity"</f>
        <v>Implied share price (USD) sensitivity</v>
      </c>
    </row>
    <row r="146" spans="3:15" x14ac:dyDescent="0.2"/>
    <row r="147" spans="3:15" x14ac:dyDescent="0.2">
      <c r="I147" s="37" t="str">
        <f>C87</f>
        <v xml:space="preserve">Terminal growth rate </v>
      </c>
    </row>
    <row r="148" spans="3:15" x14ac:dyDescent="0.2">
      <c r="G148" s="27">
        <v>9.9999999999999985E-3</v>
      </c>
      <c r="H148" s="27">
        <v>1.4999999999999999E-2</v>
      </c>
      <c r="I148" s="39">
        <v>0.02</v>
      </c>
      <c r="J148" s="27">
        <v>2.5000000000000001E-2</v>
      </c>
      <c r="K148" s="27">
        <v>3.0000000000000002E-2</v>
      </c>
    </row>
    <row r="149" spans="3:15" x14ac:dyDescent="0.2">
      <c r="F149" s="51">
        <f>$E$65</f>
        <v>25.168257744679071</v>
      </c>
      <c r="G149" s="52">
        <f t="dataTable" ref="G149:K149" dt2D="0" dtr="1" r1="E87" ca="1"/>
        <v>22.092879558218485</v>
      </c>
      <c r="H149" s="53">
        <v>23.511182852284929</v>
      </c>
      <c r="I149" s="38">
        <v>25.168257744679071</v>
      </c>
      <c r="J149" s="53">
        <v>27.129941992292707</v>
      </c>
      <c r="K149" s="54">
        <v>29.488728314322071</v>
      </c>
    </row>
    <row r="150" spans="3:15" x14ac:dyDescent="0.2"/>
    <row r="151" spans="3:15" x14ac:dyDescent="0.2">
      <c r="C151" s="81" t="s">
        <v>71</v>
      </c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3:15" x14ac:dyDescent="0.2"/>
    <row r="153" spans="3:15" x14ac:dyDescent="0.2">
      <c r="F153" s="8" t="str">
        <f>G137</f>
        <v>Implied share price (USD) sensitivity</v>
      </c>
    </row>
    <row r="154" spans="3:15" x14ac:dyDescent="0.2"/>
    <row r="155" spans="3:15" x14ac:dyDescent="0.2">
      <c r="F155" s="8" t="str">
        <f>I147</f>
        <v xml:space="preserve">Terminal growth rate </v>
      </c>
      <c r="I155" s="37"/>
      <c r="K155" s="11" t="str">
        <f>I139</f>
        <v>Weighted average cost of capital</v>
      </c>
    </row>
    <row r="156" spans="3:15" x14ac:dyDescent="0.2">
      <c r="F156" s="84">
        <f>$E$65</f>
        <v>25.168257744679071</v>
      </c>
      <c r="G156" s="77">
        <f>G140</f>
        <v>8.4400000000000003E-2</v>
      </c>
      <c r="H156" s="77">
        <f>H140</f>
        <v>8.1900000000000001E-2</v>
      </c>
      <c r="I156" s="78">
        <f>I140</f>
        <v>7.9399999999999998E-2</v>
      </c>
      <c r="J156" s="77">
        <f>J140</f>
        <v>7.6899999999999996E-2</v>
      </c>
      <c r="K156" s="77">
        <f>K140</f>
        <v>7.4399999999999994E-2</v>
      </c>
    </row>
    <row r="157" spans="3:15" x14ac:dyDescent="0.2">
      <c r="F157" s="79">
        <f>G148</f>
        <v>9.9999999999999985E-3</v>
      </c>
      <c r="G157" s="55">
        <f t="dataTable" ref="G157:K161" dt2D="1" dtr="1" r1="E82" r2="E87" ca="1"/>
        <v>19.903818721099089</v>
      </c>
      <c r="H157" s="56">
        <v>20.959673720034665</v>
      </c>
      <c r="I157" s="56">
        <v>22.092879558218485</v>
      </c>
      <c r="J157" s="56">
        <v>23.312134532415705</v>
      </c>
      <c r="K157" s="57">
        <v>24.627488261096619</v>
      </c>
    </row>
    <row r="158" spans="3:15" x14ac:dyDescent="0.2">
      <c r="F158" s="79">
        <f>H148</f>
        <v>1.4999999999999999E-2</v>
      </c>
      <c r="G158" s="58">
        <v>21.081474009751819</v>
      </c>
      <c r="H158" s="59">
        <v>22.250349253994006</v>
      </c>
      <c r="I158" s="59">
        <v>23.511182852284929</v>
      </c>
      <c r="J158" s="59">
        <v>24.875141858007087</v>
      </c>
      <c r="K158" s="60">
        <v>26.355273914960623</v>
      </c>
    </row>
    <row r="159" spans="3:15" x14ac:dyDescent="0.2">
      <c r="F159" s="80">
        <f>I148</f>
        <v>0.02</v>
      </c>
      <c r="G159" s="58">
        <v>22.441995026456212</v>
      </c>
      <c r="H159" s="59">
        <v>23.749534567268263</v>
      </c>
      <c r="I159" s="38">
        <v>25.168257744679071</v>
      </c>
      <c r="J159" s="59">
        <v>26.712842913930881</v>
      </c>
      <c r="K159" s="60">
        <v>28.400667225784932</v>
      </c>
    </row>
    <row r="160" spans="3:15" x14ac:dyDescent="0.2">
      <c r="F160" s="79">
        <f>J148</f>
        <v>2.5000000000000001E-2</v>
      </c>
      <c r="G160" s="58">
        <v>24.031559985366734</v>
      </c>
      <c r="H160" s="59">
        <v>25.512197088499335</v>
      </c>
      <c r="I160" s="59">
        <v>27.129941992292707</v>
      </c>
      <c r="J160" s="59">
        <v>28.904628951728235</v>
      </c>
      <c r="K160" s="60">
        <v>30.860107765521043</v>
      </c>
    </row>
    <row r="161" spans="3:15" x14ac:dyDescent="0.2">
      <c r="F161" s="79">
        <f>K148</f>
        <v>3.0000000000000002E-2</v>
      </c>
      <c r="G161" s="61">
        <v>25.91332438525345</v>
      </c>
      <c r="H161" s="62">
        <v>27.614486299755661</v>
      </c>
      <c r="I161" s="62">
        <v>29.488728314322071</v>
      </c>
      <c r="J161" s="62">
        <v>31.563746767307546</v>
      </c>
      <c r="K161" s="63">
        <v>33.873476354747254</v>
      </c>
    </row>
    <row r="162" spans="3:15" x14ac:dyDescent="0.2"/>
    <row r="163" spans="3:15" x14ac:dyDescent="0.2">
      <c r="C163" s="81" t="s">
        <v>59</v>
      </c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3:15" x14ac:dyDescent="0.2">
      <c r="E164" s="11" t="s">
        <v>63</v>
      </c>
      <c r="H164" s="11" t="s">
        <v>64</v>
      </c>
      <c r="I164" s="42" t="s">
        <v>65</v>
      </c>
    </row>
    <row r="165" spans="3:15" x14ac:dyDescent="0.2">
      <c r="C165" t="str">
        <f>C47</f>
        <v>Enterprise value</v>
      </c>
      <c r="E165" s="83">
        <v>0</v>
      </c>
      <c r="H165" s="12">
        <f>E165+I165</f>
        <v>330.56575167232279</v>
      </c>
      <c r="I165" s="14">
        <f>E47</f>
        <v>330.56575167232279</v>
      </c>
    </row>
    <row r="166" spans="3:15" x14ac:dyDescent="0.2">
      <c r="C166" t="str">
        <f>C53</f>
        <v>Cash &amp; cash equivalents</v>
      </c>
      <c r="E166" s="12">
        <f>H165</f>
        <v>330.56575167232279</v>
      </c>
      <c r="H166" s="12">
        <f t="shared" ref="H166:H170" si="53">E166+I166</f>
        <v>337.76575167232278</v>
      </c>
      <c r="I166" s="14">
        <f>E53</f>
        <v>7.2</v>
      </c>
    </row>
    <row r="167" spans="3:15" x14ac:dyDescent="0.2">
      <c r="C167" t="str">
        <f>C54</f>
        <v>Non-operating assets</v>
      </c>
      <c r="E167" s="12">
        <f t="shared" ref="E167:E169" si="54">H166</f>
        <v>337.76575167232278</v>
      </c>
      <c r="H167" s="12">
        <f t="shared" si="53"/>
        <v>370.3657516723228</v>
      </c>
      <c r="I167" s="14">
        <f>E54</f>
        <v>32.6</v>
      </c>
    </row>
    <row r="168" spans="3:15" x14ac:dyDescent="0.2">
      <c r="C168" t="str">
        <f>C58</f>
        <v>Debt</v>
      </c>
      <c r="E168" s="12">
        <f t="shared" si="54"/>
        <v>370.3657516723228</v>
      </c>
      <c r="H168" s="12">
        <f t="shared" si="53"/>
        <v>299.66575167232281</v>
      </c>
      <c r="I168" s="14">
        <f>E58</f>
        <v>-70.7</v>
      </c>
    </row>
    <row r="169" spans="3:15" x14ac:dyDescent="0.2">
      <c r="C169" t="str">
        <f>C59</f>
        <v>Non-controlling interests</v>
      </c>
      <c r="E169" s="12">
        <f t="shared" si="54"/>
        <v>299.66575167232281</v>
      </c>
      <c r="H169" s="12">
        <f t="shared" si="53"/>
        <v>249.16575167232281</v>
      </c>
      <c r="I169" s="14">
        <f>E59</f>
        <v>-50.5</v>
      </c>
    </row>
    <row r="170" spans="3:15" x14ac:dyDescent="0.2">
      <c r="C170" t="str">
        <f>C61</f>
        <v>Equity value</v>
      </c>
      <c r="E170" s="83">
        <v>0</v>
      </c>
      <c r="H170" s="12">
        <f t="shared" si="53"/>
        <v>249.16575167232281</v>
      </c>
      <c r="I170" s="14">
        <f>E61</f>
        <v>249.16575167232281</v>
      </c>
    </row>
    <row r="171" spans="3:15" x14ac:dyDescent="0.2"/>
    <row r="172" spans="3:15" x14ac:dyDescent="0.2"/>
    <row r="173" spans="3:15" x14ac:dyDescent="0.2"/>
    <row r="174" spans="3:15" x14ac:dyDescent="0.2"/>
    <row r="175" spans="3:15" x14ac:dyDescent="0.2"/>
    <row r="176" spans="3:15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</sheetData>
  <conditionalFormatting sqref="G53:G59">
    <cfRule type="dataBar" priority="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{129F313F-D301-4A80-9310-8CB2A0914706}</x14:id>
        </ext>
      </extLst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{170E49BC-7E5D-4244-BE61-9C530C841EEA}</x14:id>
        </ext>
      </extLst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9F313F-D301-4A80-9310-8CB2A09147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0E49BC-7E5D-4244-BE61-9C530C841E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G53:G59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TVB, Sec. F, Chs. 23-25</vt:lpstr>
    </vt:vector>
  </TitlesOfParts>
  <Company>UBS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Bancroft, Helen-XT</dc:creator>
  <cp:lastModifiedBy>Neil Pande</cp:lastModifiedBy>
  <cp:lastPrinted>2022-11-04T09:21:48Z</cp:lastPrinted>
  <dcterms:created xsi:type="dcterms:W3CDTF">2020-09-11T11:42:01Z</dcterms:created>
  <dcterms:modified xsi:type="dcterms:W3CDTF">2024-12-17T11:54:31Z</dcterms:modified>
</cp:coreProperties>
</file>