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Neil\2024-25\NDPTL\Valuation book website\Book website XLs\"/>
    </mc:Choice>
  </mc:AlternateContent>
  <xr:revisionPtr revIDLastSave="0" documentId="13_ncr:1_{EF56ABF9-5D8F-4161-990B-C406D771A9C4}" xr6:coauthVersionLast="47" xr6:coauthVersionMax="47" xr10:uidLastSave="{00000000-0000-0000-0000-000000000000}"/>
  <bookViews>
    <workbookView xWindow="-120" yWindow="-120" windowWidth="29040" windowHeight="15720" tabRatio="903" xr2:uid="{08AF0FFF-D224-46BA-A16F-F44D4B225C40}"/>
  </bookViews>
  <sheets>
    <sheet name="About" sheetId="24" r:id="rId1"/>
    <sheet name="TVB, Sec. F, Chs. 26-7" sheetId="23" r:id="rId2"/>
  </sheets>
  <definedNames>
    <definedName name="CaseBase">#REF!</definedName>
    <definedName name="CaseDown">#REF!</definedName>
    <definedName name="CaseUp">#REF!</definedName>
    <definedName name="DayCount">#REF!</definedName>
    <definedName name="DB">"WIREUK"</definedName>
    <definedName name="RdgFac">#REF!</definedName>
    <definedName name="Sales">#REF!</definedName>
    <definedName name="ScenSwitch">#REF!</definedName>
    <definedName name="StubPer">#REF!</definedName>
    <definedName name="Template.WIRE.DBAccess.CalcMode">"Async"</definedName>
    <definedName name="TV">#REF!</definedName>
    <definedName name="Wacc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3" l="1"/>
  <c r="D27" i="23"/>
  <c r="D24" i="23"/>
  <c r="D8" i="23" l="1"/>
  <c r="B48" i="23"/>
  <c r="B105" i="23"/>
  <c r="B108" i="23" s="1"/>
  <c r="B116" i="23"/>
  <c r="B113" i="23"/>
  <c r="B104" i="23"/>
  <c r="B97" i="23"/>
  <c r="B96" i="23"/>
  <c r="B109" i="23" s="1"/>
  <c r="B112" i="23" s="1"/>
  <c r="B72" i="23"/>
  <c r="D105" i="23"/>
  <c r="D108" i="23" s="1"/>
  <c r="B94" i="23"/>
  <c r="B87" i="23"/>
  <c r="B86" i="23"/>
  <c r="B85" i="23"/>
  <c r="E80" i="23"/>
  <c r="D73" i="23"/>
  <c r="B73" i="23"/>
  <c r="D65" i="23"/>
  <c r="B50" i="23" s="1"/>
  <c r="D35" i="23"/>
  <c r="D34" i="23" s="1"/>
  <c r="B35" i="23"/>
  <c r="D28" i="23"/>
  <c r="D13" i="23"/>
  <c r="D11" i="23"/>
  <c r="D10" i="23"/>
  <c r="E2" i="23"/>
  <c r="D14" i="23" l="1"/>
  <c r="D17" i="23" s="1"/>
  <c r="D19" i="23" s="1"/>
  <c r="D42" i="23"/>
  <c r="D72" i="23"/>
  <c r="E50" i="23"/>
  <c r="D25" i="23"/>
  <c r="D36" i="23"/>
  <c r="F2" i="23"/>
  <c r="D85" i="23"/>
  <c r="D22" i="23"/>
  <c r="D87" i="23"/>
  <c r="D86" i="23"/>
  <c r="D97" i="23" l="1"/>
  <c r="F50" i="23"/>
  <c r="D40" i="23"/>
  <c r="D16" i="23"/>
  <c r="D88" i="23"/>
  <c r="D90" i="23" s="1"/>
  <c r="G2" i="23"/>
  <c r="D31" i="23"/>
  <c r="D96" i="23" l="1"/>
  <c r="G50" i="23"/>
  <c r="D20" i="23"/>
  <c r="H2" i="23"/>
  <c r="D38" i="23"/>
  <c r="D104" i="23" l="1"/>
  <c r="D106" i="23" s="1"/>
  <c r="D98" i="23"/>
  <c r="D113" i="23" s="1"/>
  <c r="D109" i="23"/>
  <c r="D110" i="23" s="1"/>
  <c r="H50" i="23"/>
  <c r="D44" i="23"/>
  <c r="D94" i="23"/>
  <c r="I2" i="23"/>
  <c r="D112" i="23" l="1"/>
  <c r="D114" i="23" s="1"/>
  <c r="D116" i="23" s="1"/>
  <c r="D100" i="23"/>
  <c r="I50" i="23"/>
  <c r="J2" i="23"/>
  <c r="D118" i="23" l="1"/>
  <c r="J50" i="23"/>
  <c r="K2" i="23"/>
  <c r="K50" i="23" l="1"/>
  <c r="L2" i="23"/>
  <c r="L50" i="23" l="1"/>
  <c r="M2" i="23"/>
  <c r="M50" i="23" l="1"/>
  <c r="N2" i="23"/>
  <c r="N50" i="23" l="1"/>
  <c r="E10" i="23"/>
  <c r="E24" i="23"/>
  <c r="E30" i="23"/>
  <c r="E42" i="23"/>
  <c r="E16" i="23"/>
  <c r="E27" i="23"/>
  <c r="E8" i="23"/>
  <c r="E19" i="23"/>
  <c r="E34" i="23"/>
  <c r="E13" i="23"/>
  <c r="F13" i="23" l="1"/>
  <c r="F10" i="23"/>
  <c r="F19" i="23"/>
  <c r="F8" i="23"/>
  <c r="F42" i="23"/>
  <c r="F24" i="23"/>
  <c r="F30" i="23"/>
  <c r="E7" i="23"/>
  <c r="F16" i="23"/>
  <c r="F34" i="23"/>
  <c r="F27" i="23"/>
  <c r="G34" i="23" l="1"/>
  <c r="G27" i="23"/>
  <c r="E26" i="23"/>
  <c r="G8" i="23"/>
  <c r="G10" i="23"/>
  <c r="G19" i="23"/>
  <c r="G13" i="23"/>
  <c r="G42" i="23"/>
  <c r="F7" i="23"/>
  <c r="G24" i="23"/>
  <c r="E12" i="23"/>
  <c r="E9" i="23"/>
  <c r="E105" i="23"/>
  <c r="E108" i="23" s="1"/>
  <c r="G30" i="23"/>
  <c r="G16" i="23"/>
  <c r="H34" i="23" l="1"/>
  <c r="E86" i="23"/>
  <c r="H27" i="23"/>
  <c r="E25" i="23"/>
  <c r="E35" i="23"/>
  <c r="G7" i="23"/>
  <c r="H10" i="23"/>
  <c r="H8" i="23"/>
  <c r="H19" i="23"/>
  <c r="H13" i="23"/>
  <c r="E11" i="23"/>
  <c r="H42" i="23"/>
  <c r="E23" i="23"/>
  <c r="F105" i="23"/>
  <c r="F108" i="23" s="1"/>
  <c r="F26" i="23"/>
  <c r="F9" i="23"/>
  <c r="F12" i="23"/>
  <c r="H30" i="23"/>
  <c r="H24" i="23"/>
  <c r="E33" i="23"/>
  <c r="E29" i="23"/>
  <c r="E82" i="23"/>
  <c r="H16" i="23"/>
  <c r="E14" i="23" l="1"/>
  <c r="I34" i="23"/>
  <c r="E81" i="23"/>
  <c r="E83" i="23" s="1"/>
  <c r="F80" i="23" s="1"/>
  <c r="G105" i="23"/>
  <c r="G108" i="23" s="1"/>
  <c r="F25" i="23"/>
  <c r="E87" i="23"/>
  <c r="E85" i="23"/>
  <c r="I27" i="23"/>
  <c r="G12" i="23"/>
  <c r="G9" i="23"/>
  <c r="I19" i="23"/>
  <c r="I8" i="23"/>
  <c r="E41" i="23"/>
  <c r="H7" i="23"/>
  <c r="I10" i="23"/>
  <c r="G26" i="23"/>
  <c r="F11" i="23"/>
  <c r="I13" i="23"/>
  <c r="F33" i="23"/>
  <c r="E22" i="23"/>
  <c r="I42" i="23"/>
  <c r="F35" i="23"/>
  <c r="F23" i="23"/>
  <c r="F82" i="23"/>
  <c r="E28" i="23"/>
  <c r="F86" i="23"/>
  <c r="I30" i="23"/>
  <c r="F29" i="23"/>
  <c r="I24" i="23"/>
  <c r="E36" i="23"/>
  <c r="I16" i="23"/>
  <c r="G23" i="23" l="1"/>
  <c r="G85" i="23" s="1"/>
  <c r="F14" i="23"/>
  <c r="H105" i="23"/>
  <c r="H108" i="23" s="1"/>
  <c r="J34" i="23"/>
  <c r="F81" i="23"/>
  <c r="F83" i="23" s="1"/>
  <c r="G80" i="23" s="1"/>
  <c r="J27" i="23"/>
  <c r="E88" i="23"/>
  <c r="E90" i="23" s="1"/>
  <c r="J24" i="23"/>
  <c r="F22" i="23"/>
  <c r="F87" i="23"/>
  <c r="G11" i="23"/>
  <c r="G35" i="23"/>
  <c r="G33" i="23"/>
  <c r="G82" i="23"/>
  <c r="G29" i="23"/>
  <c r="J19" i="23"/>
  <c r="G86" i="23"/>
  <c r="J13" i="23"/>
  <c r="J10" i="23"/>
  <c r="H26" i="23"/>
  <c r="E40" i="23"/>
  <c r="E15" i="23"/>
  <c r="E97" i="23"/>
  <c r="I7" i="23"/>
  <c r="H12" i="23"/>
  <c r="G25" i="23"/>
  <c r="F41" i="23"/>
  <c r="H9" i="23"/>
  <c r="J8" i="23"/>
  <c r="J42" i="23"/>
  <c r="F36" i="23"/>
  <c r="F85" i="23"/>
  <c r="E31" i="23"/>
  <c r="J30" i="23"/>
  <c r="F28" i="23"/>
  <c r="J16" i="23"/>
  <c r="H29" i="23" l="1"/>
  <c r="H87" i="23" s="1"/>
  <c r="G22" i="23"/>
  <c r="G14" i="23"/>
  <c r="K34" i="23"/>
  <c r="K27" i="23"/>
  <c r="K24" i="23"/>
  <c r="G87" i="23"/>
  <c r="G88" i="23" s="1"/>
  <c r="F88" i="23"/>
  <c r="F90" i="23" s="1"/>
  <c r="G28" i="23"/>
  <c r="G36" i="23"/>
  <c r="G81" i="23"/>
  <c r="G83" i="23" s="1"/>
  <c r="G41" i="23"/>
  <c r="K19" i="23"/>
  <c r="H82" i="23"/>
  <c r="I105" i="23"/>
  <c r="I108" i="23" s="1"/>
  <c r="H35" i="23"/>
  <c r="H33" i="23"/>
  <c r="I26" i="23"/>
  <c r="H86" i="23"/>
  <c r="H11" i="23"/>
  <c r="K10" i="23"/>
  <c r="H23" i="23"/>
  <c r="K13" i="23"/>
  <c r="E17" i="23"/>
  <c r="H25" i="23"/>
  <c r="K8" i="23"/>
  <c r="J7" i="23"/>
  <c r="F97" i="23"/>
  <c r="F40" i="23"/>
  <c r="F15" i="23"/>
  <c r="I12" i="23"/>
  <c r="I9" i="23"/>
  <c r="K42" i="23"/>
  <c r="K30" i="23"/>
  <c r="E38" i="23"/>
  <c r="E96" i="23"/>
  <c r="F31" i="23"/>
  <c r="K16" i="23"/>
  <c r="J12" i="23" l="1"/>
  <c r="J82" i="23" s="1"/>
  <c r="H28" i="23"/>
  <c r="I23" i="23"/>
  <c r="I85" i="23" s="1"/>
  <c r="L34" i="23"/>
  <c r="L27" i="23"/>
  <c r="L24" i="23"/>
  <c r="H22" i="23"/>
  <c r="L30" i="23"/>
  <c r="G15" i="23"/>
  <c r="I25" i="23"/>
  <c r="G31" i="23"/>
  <c r="G97" i="23"/>
  <c r="G40" i="23"/>
  <c r="H81" i="23"/>
  <c r="L19" i="23"/>
  <c r="H85" i="23"/>
  <c r="H88" i="23" s="1"/>
  <c r="H36" i="23"/>
  <c r="J105" i="23"/>
  <c r="J108" i="23" s="1"/>
  <c r="J9" i="23"/>
  <c r="I29" i="23"/>
  <c r="I82" i="23"/>
  <c r="I11" i="23"/>
  <c r="L10" i="23"/>
  <c r="E18" i="23"/>
  <c r="H41" i="23"/>
  <c r="H14" i="23"/>
  <c r="L8" i="23"/>
  <c r="F17" i="23"/>
  <c r="K7" i="23"/>
  <c r="I35" i="23"/>
  <c r="J26" i="23"/>
  <c r="L13" i="23"/>
  <c r="I33" i="23"/>
  <c r="I86" i="23"/>
  <c r="E98" i="23"/>
  <c r="E109" i="23"/>
  <c r="E110" i="23" s="1"/>
  <c r="L42" i="23"/>
  <c r="F38" i="23"/>
  <c r="F96" i="23"/>
  <c r="L16" i="23"/>
  <c r="G90" i="23"/>
  <c r="G96" i="23" s="1"/>
  <c r="H80" i="23"/>
  <c r="J35" i="23" l="1"/>
  <c r="J33" i="23"/>
  <c r="J81" i="23" s="1"/>
  <c r="H31" i="23"/>
  <c r="I22" i="23"/>
  <c r="G17" i="23"/>
  <c r="M34" i="23"/>
  <c r="M27" i="23"/>
  <c r="M19" i="23"/>
  <c r="M24" i="23"/>
  <c r="M30" i="23"/>
  <c r="G38" i="23"/>
  <c r="H83" i="23"/>
  <c r="H90" i="23" s="1"/>
  <c r="H96" i="23" s="1"/>
  <c r="I28" i="23"/>
  <c r="K9" i="23"/>
  <c r="K12" i="23"/>
  <c r="L7" i="23"/>
  <c r="J11" i="23"/>
  <c r="K26" i="23"/>
  <c r="J29" i="23"/>
  <c r="I36" i="23"/>
  <c r="I87" i="23"/>
  <c r="I88" i="23" s="1"/>
  <c r="J23" i="23"/>
  <c r="I81" i="23"/>
  <c r="M10" i="23"/>
  <c r="M13" i="23"/>
  <c r="M8" i="23"/>
  <c r="F18" i="23"/>
  <c r="H40" i="23"/>
  <c r="H97" i="23"/>
  <c r="H15" i="23"/>
  <c r="I41" i="23"/>
  <c r="I14" i="23"/>
  <c r="J86" i="23"/>
  <c r="J25" i="23"/>
  <c r="K105" i="23"/>
  <c r="K108" i="23" s="1"/>
  <c r="E20" i="23"/>
  <c r="E113" i="23"/>
  <c r="E112" i="23"/>
  <c r="F98" i="23"/>
  <c r="F109" i="23"/>
  <c r="F112" i="23" s="1"/>
  <c r="G98" i="23"/>
  <c r="G113" i="23" s="1"/>
  <c r="G109" i="23"/>
  <c r="M42" i="23"/>
  <c r="M16" i="23"/>
  <c r="G18" i="23" l="1"/>
  <c r="G20" i="23" s="1"/>
  <c r="H17" i="23"/>
  <c r="J36" i="23"/>
  <c r="H38" i="23"/>
  <c r="K33" i="23"/>
  <c r="J22" i="23"/>
  <c r="K25" i="23"/>
  <c r="I80" i="23"/>
  <c r="I83" i="23" s="1"/>
  <c r="I90" i="23" s="1"/>
  <c r="I96" i="23" s="1"/>
  <c r="I31" i="23"/>
  <c r="K82" i="23"/>
  <c r="K23" i="23"/>
  <c r="K29" i="23"/>
  <c r="K11" i="23"/>
  <c r="K35" i="23"/>
  <c r="J41" i="23"/>
  <c r="J87" i="23"/>
  <c r="M7" i="23"/>
  <c r="K86" i="23"/>
  <c r="L26" i="23"/>
  <c r="L105" i="23"/>
  <c r="L108" i="23" s="1"/>
  <c r="L12" i="23"/>
  <c r="L9" i="23"/>
  <c r="J28" i="23"/>
  <c r="J85" i="23"/>
  <c r="J14" i="23"/>
  <c r="I40" i="23"/>
  <c r="I97" i="23"/>
  <c r="I15" i="23"/>
  <c r="E104" i="23"/>
  <c r="E106" i="23" s="1"/>
  <c r="E94" i="23"/>
  <c r="E100" i="23" s="1"/>
  <c r="E44" i="23"/>
  <c r="F20" i="23"/>
  <c r="E114" i="23"/>
  <c r="F110" i="23"/>
  <c r="F113" i="23"/>
  <c r="F114" i="23" s="1"/>
  <c r="H98" i="23"/>
  <c r="H113" i="23" s="1"/>
  <c r="H109" i="23"/>
  <c r="H18" i="23" l="1"/>
  <c r="G104" i="23"/>
  <c r="G106" i="23" s="1"/>
  <c r="K14" i="23"/>
  <c r="K81" i="23"/>
  <c r="G44" i="23"/>
  <c r="K87" i="23"/>
  <c r="L86" i="23"/>
  <c r="K85" i="23"/>
  <c r="I38" i="23"/>
  <c r="G94" i="23"/>
  <c r="G100" i="23" s="1"/>
  <c r="L25" i="23"/>
  <c r="K36" i="23"/>
  <c r="K28" i="23"/>
  <c r="J15" i="23"/>
  <c r="M26" i="23"/>
  <c r="J40" i="23"/>
  <c r="M9" i="23"/>
  <c r="N7" i="23"/>
  <c r="L33" i="23"/>
  <c r="M105" i="23"/>
  <c r="M108" i="23" s="1"/>
  <c r="L35" i="23"/>
  <c r="L11" i="23"/>
  <c r="L82" i="23"/>
  <c r="K41" i="23"/>
  <c r="L29" i="23"/>
  <c r="L23" i="23"/>
  <c r="M12" i="23"/>
  <c r="K22" i="23"/>
  <c r="J97" i="23"/>
  <c r="J88" i="23"/>
  <c r="J31" i="23"/>
  <c r="J80" i="23"/>
  <c r="J83" i="23" s="1"/>
  <c r="I17" i="23"/>
  <c r="E116" i="23"/>
  <c r="E118" i="23" s="1"/>
  <c r="F94" i="23"/>
  <c r="F100" i="23" s="1"/>
  <c r="F104" i="23"/>
  <c r="F106" i="23" s="1"/>
  <c r="F116" i="23" s="1"/>
  <c r="F44" i="23"/>
  <c r="I98" i="23"/>
  <c r="I113" i="23" s="1"/>
  <c r="I109" i="23"/>
  <c r="G110" i="23"/>
  <c r="G112" i="23"/>
  <c r="G114" i="23" s="1"/>
  <c r="H20" i="23" l="1"/>
  <c r="I18" i="23"/>
  <c r="I20" i="23" s="1"/>
  <c r="M23" i="23"/>
  <c r="M85" i="23" s="1"/>
  <c r="J17" i="23"/>
  <c r="K15" i="23"/>
  <c r="K88" i="23"/>
  <c r="M86" i="23"/>
  <c r="L22" i="23"/>
  <c r="J38" i="23"/>
  <c r="M33" i="23"/>
  <c r="M25" i="23"/>
  <c r="M29" i="23"/>
  <c r="L85" i="23"/>
  <c r="M11" i="23"/>
  <c r="K40" i="23"/>
  <c r="L81" i="23"/>
  <c r="L36" i="23"/>
  <c r="K31" i="23"/>
  <c r="L28" i="23"/>
  <c r="M82" i="23"/>
  <c r="L87" i="23"/>
  <c r="M35" i="23"/>
  <c r="N12" i="23"/>
  <c r="N9" i="23"/>
  <c r="K97" i="23"/>
  <c r="J90" i="23"/>
  <c r="J96" i="23" s="1"/>
  <c r="J109" i="23" s="1"/>
  <c r="N26" i="23"/>
  <c r="N105" i="23"/>
  <c r="N108" i="23" s="1"/>
  <c r="L41" i="23"/>
  <c r="L14" i="23"/>
  <c r="K80" i="23"/>
  <c r="K83" i="23" s="1"/>
  <c r="L80" i="23" s="1"/>
  <c r="F118" i="23"/>
  <c r="G116" i="23"/>
  <c r="G118" i="23" s="1"/>
  <c r="H110" i="23"/>
  <c r="H112" i="23"/>
  <c r="H114" i="23" s="1"/>
  <c r="H44" i="23" l="1"/>
  <c r="H104" i="23"/>
  <c r="H106" i="23" s="1"/>
  <c r="H116" i="23" s="1"/>
  <c r="H94" i="23"/>
  <c r="H100" i="23" s="1"/>
  <c r="M22" i="23"/>
  <c r="J18" i="23"/>
  <c r="I104" i="23"/>
  <c r="I106" i="23" s="1"/>
  <c r="M41" i="23"/>
  <c r="M40" i="23" s="1"/>
  <c r="K17" i="23"/>
  <c r="M81" i="23"/>
  <c r="L40" i="23"/>
  <c r="L83" i="23"/>
  <c r="M80" i="23" s="1"/>
  <c r="N25" i="23"/>
  <c r="L88" i="23"/>
  <c r="N23" i="23"/>
  <c r="M87" i="23"/>
  <c r="M88" i="23" s="1"/>
  <c r="M28" i="23"/>
  <c r="J98" i="23"/>
  <c r="J113" i="23" s="1"/>
  <c r="K38" i="23"/>
  <c r="N86" i="23"/>
  <c r="M36" i="23"/>
  <c r="L31" i="23"/>
  <c r="M14" i="23"/>
  <c r="N82" i="23"/>
  <c r="N11" i="23"/>
  <c r="N29" i="23"/>
  <c r="L97" i="23"/>
  <c r="L15" i="23"/>
  <c r="N35" i="23"/>
  <c r="N33" i="23"/>
  <c r="K90" i="23"/>
  <c r="K96" i="23" s="1"/>
  <c r="K109" i="23" s="1"/>
  <c r="I94" i="23"/>
  <c r="I100" i="23" s="1"/>
  <c r="I44" i="23"/>
  <c r="I110" i="23"/>
  <c r="I112" i="23"/>
  <c r="I114" i="23" s="1"/>
  <c r="H118" i="23" l="1"/>
  <c r="J20" i="23"/>
  <c r="M15" i="23"/>
  <c r="M97" i="23"/>
  <c r="K18" i="23"/>
  <c r="L17" i="23"/>
  <c r="M83" i="23"/>
  <c r="M90" i="23" s="1"/>
  <c r="M96" i="23" s="1"/>
  <c r="L90" i="23"/>
  <c r="L96" i="23" s="1"/>
  <c r="L98" i="23" s="1"/>
  <c r="L113" i="23" s="1"/>
  <c r="L38" i="23"/>
  <c r="N22" i="23"/>
  <c r="N87" i="23"/>
  <c r="N14" i="23"/>
  <c r="M31" i="23"/>
  <c r="N41" i="23"/>
  <c r="N85" i="23"/>
  <c r="N36" i="23"/>
  <c r="K98" i="23"/>
  <c r="K113" i="23" s="1"/>
  <c r="N81" i="23"/>
  <c r="N28" i="23"/>
  <c r="I116" i="23"/>
  <c r="I118" i="23" s="1"/>
  <c r="J110" i="23"/>
  <c r="J112" i="23"/>
  <c r="J114" i="23" s="1"/>
  <c r="M17" i="23" l="1"/>
  <c r="J104" i="23"/>
  <c r="J106" i="23" s="1"/>
  <c r="J116" i="23" s="1"/>
  <c r="J44" i="23"/>
  <c r="J94" i="23"/>
  <c r="J100" i="23" s="1"/>
  <c r="K20" i="23"/>
  <c r="L18" i="23"/>
  <c r="N80" i="23"/>
  <c r="N83" i="23" s="1"/>
  <c r="L109" i="23"/>
  <c r="N40" i="23"/>
  <c r="N88" i="23"/>
  <c r="M38" i="23"/>
  <c r="N97" i="23"/>
  <c r="N15" i="23"/>
  <c r="N31" i="23"/>
  <c r="M98" i="23"/>
  <c r="M109" i="23"/>
  <c r="K110" i="23"/>
  <c r="K112" i="23"/>
  <c r="K114" i="23" s="1"/>
  <c r="M18" i="23" l="1"/>
  <c r="J118" i="23"/>
  <c r="K104" i="23"/>
  <c r="K106" i="23" s="1"/>
  <c r="K116" i="23" s="1"/>
  <c r="K44" i="23"/>
  <c r="K94" i="23"/>
  <c r="K100" i="23" s="1"/>
  <c r="L20" i="23"/>
  <c r="N17" i="23"/>
  <c r="N90" i="23"/>
  <c r="N38" i="23"/>
  <c r="M113" i="23"/>
  <c r="L110" i="23"/>
  <c r="L112" i="23"/>
  <c r="L114" i="23" s="1"/>
  <c r="M20" i="23" l="1"/>
  <c r="M104" i="23" s="1"/>
  <c r="M106" i="23" s="1"/>
  <c r="K118" i="23"/>
  <c r="L94" i="23"/>
  <c r="L100" i="23" s="1"/>
  <c r="L44" i="23"/>
  <c r="L104" i="23"/>
  <c r="L106" i="23" s="1"/>
  <c r="L116" i="23" s="1"/>
  <c r="N18" i="23"/>
  <c r="N96" i="23"/>
  <c r="N109" i="23" s="1"/>
  <c r="N112" i="23" s="1"/>
  <c r="M110" i="23"/>
  <c r="M112" i="23"/>
  <c r="M114" i="23" s="1"/>
  <c r="M44" i="23" l="1"/>
  <c r="M94" i="23"/>
  <c r="M100" i="23" s="1"/>
  <c r="L118" i="23"/>
  <c r="N20" i="23"/>
  <c r="N98" i="23"/>
  <c r="N113" i="23" s="1"/>
  <c r="N114" i="23" s="1"/>
  <c r="N110" i="23"/>
  <c r="M116" i="23"/>
  <c r="M118" i="23" s="1"/>
  <c r="N104" i="23" l="1"/>
  <c r="N106" i="23" s="1"/>
  <c r="N116" i="23" s="1"/>
  <c r="N94" i="23"/>
  <c r="N100" i="23" s="1"/>
  <c r="N44" i="23"/>
  <c r="D69" i="23" l="1"/>
  <c r="D71" i="23" s="1"/>
  <c r="D52" i="23"/>
  <c r="N118" i="23"/>
  <c r="D74" i="23" l="1"/>
  <c r="N48" i="23" l="1"/>
  <c r="D53" i="23" l="1"/>
  <c r="D54" i="23" l="1"/>
  <c r="E53" i="23" l="1"/>
  <c r="D58" i="23"/>
  <c r="E52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Neil Pande</author>
  </authors>
  <commentList>
    <comment ref="E8" authorId="0" shapeId="0" xr:uid="{B86845B2-82C5-44D7-8944-D42A0D5DFF43}">
      <text>
        <r>
          <rPr>
            <b/>
            <sz val="9"/>
            <color indexed="81"/>
            <rFont val="Tahoma"/>
            <family val="2"/>
          </rPr>
          <t>Neil Pande:</t>
        </r>
        <r>
          <rPr>
            <sz val="9"/>
            <color indexed="81"/>
            <rFont val="Tahoma"/>
            <family val="2"/>
          </rPr>
          <t xml:space="preserve">
Feel free to overwrite the simple linear trending formula in this and subsequent cells!</t>
        </r>
      </text>
    </comment>
    <comment ref="E10" authorId="0" shapeId="0" xr:uid="{5E849058-B5A3-43F2-BD06-B5897BDFD857}">
      <text>
        <r>
          <rPr>
            <b/>
            <sz val="9"/>
            <color indexed="81"/>
            <rFont val="Tahoma"/>
            <family val="2"/>
          </rPr>
          <t>Neil Pande:</t>
        </r>
        <r>
          <rPr>
            <sz val="9"/>
            <color indexed="81"/>
            <rFont val="Tahoma"/>
            <family val="2"/>
          </rPr>
          <t xml:space="preserve">
Feel free to overwrite the simple linear trending formula in this and subsequent cells!</t>
        </r>
      </text>
    </comment>
    <comment ref="E13" authorId="0" shapeId="0" xr:uid="{409A4C7B-D6C1-4EFC-A455-2C578BF551BE}">
      <text>
        <r>
          <rPr>
            <b/>
            <sz val="9"/>
            <color indexed="81"/>
            <rFont val="Tahoma"/>
            <family val="2"/>
          </rPr>
          <t>Neil Pande:</t>
        </r>
        <r>
          <rPr>
            <sz val="9"/>
            <color indexed="81"/>
            <rFont val="Tahoma"/>
            <family val="2"/>
          </rPr>
          <t xml:space="preserve">
Feel free to overwrite the simple linear trending formula in this and subsequent cells!</t>
        </r>
      </text>
    </comment>
    <comment ref="E16" authorId="0" shapeId="0" xr:uid="{87DE289B-0138-44C7-A180-9292D20E7359}">
      <text>
        <r>
          <rPr>
            <b/>
            <sz val="9"/>
            <color indexed="81"/>
            <rFont val="Tahoma"/>
            <family val="2"/>
          </rPr>
          <t>Neil Pande:</t>
        </r>
        <r>
          <rPr>
            <sz val="9"/>
            <color indexed="81"/>
            <rFont val="Tahoma"/>
            <family val="2"/>
          </rPr>
          <t xml:space="preserve">
Feel free to overwrite the simple linear trending formula in this and subsequent cells!</t>
        </r>
      </text>
    </comment>
    <comment ref="E19" authorId="0" shapeId="0" xr:uid="{7B0FD4CF-2EED-4D60-B544-A097F657739E}">
      <text>
        <r>
          <rPr>
            <b/>
            <sz val="9"/>
            <color indexed="81"/>
            <rFont val="Tahoma"/>
            <family val="2"/>
          </rPr>
          <t>Neil Pande:</t>
        </r>
        <r>
          <rPr>
            <sz val="9"/>
            <color indexed="81"/>
            <rFont val="Tahoma"/>
            <family val="2"/>
          </rPr>
          <t xml:space="preserve">
Feel free to overwrite the simple linear trending formula in this and subsequent cells!</t>
        </r>
      </text>
    </comment>
    <comment ref="E24" authorId="0" shapeId="0" xr:uid="{45D9E809-0C99-4BB2-8C1F-C6E363CCC504}">
      <text>
        <r>
          <rPr>
            <b/>
            <sz val="9"/>
            <color indexed="81"/>
            <rFont val="Tahoma"/>
            <family val="2"/>
          </rPr>
          <t>Neil Pande:</t>
        </r>
        <r>
          <rPr>
            <sz val="9"/>
            <color indexed="81"/>
            <rFont val="Tahoma"/>
            <family val="2"/>
          </rPr>
          <t xml:space="preserve">
Feel free to overwrite the simple linear trending formula in this and subsequent cells!</t>
        </r>
      </text>
    </comment>
    <comment ref="E27" authorId="0" shapeId="0" xr:uid="{41D3BF23-A566-4D00-A696-305DB6D6E92D}">
      <text>
        <r>
          <rPr>
            <b/>
            <sz val="9"/>
            <color indexed="81"/>
            <rFont val="Tahoma"/>
            <family val="2"/>
          </rPr>
          <t>Neil Pande:</t>
        </r>
        <r>
          <rPr>
            <sz val="9"/>
            <color indexed="81"/>
            <rFont val="Tahoma"/>
            <family val="2"/>
          </rPr>
          <t xml:space="preserve">
Feel free to overwrite the simple linear trending formula in this and subsequent cells!</t>
        </r>
      </text>
    </comment>
    <comment ref="E30" authorId="0" shapeId="0" xr:uid="{48F6B4A3-2737-4530-BECC-14EC560B308F}">
      <text>
        <r>
          <rPr>
            <b/>
            <sz val="9"/>
            <color indexed="81"/>
            <rFont val="Tahoma"/>
            <family val="2"/>
          </rPr>
          <t>Neil Pande:</t>
        </r>
        <r>
          <rPr>
            <sz val="9"/>
            <color indexed="81"/>
            <rFont val="Tahoma"/>
            <family val="2"/>
          </rPr>
          <t xml:space="preserve">
Feel free to overwrite the simple linear trending formula in this and subsequent cells!</t>
        </r>
      </text>
    </comment>
    <comment ref="E34" authorId="0" shapeId="0" xr:uid="{B0A0E66F-61CF-47AB-9B98-CCD1C0939ACA}">
      <text>
        <r>
          <rPr>
            <b/>
            <sz val="9"/>
            <color indexed="81"/>
            <rFont val="Tahoma"/>
            <family val="2"/>
          </rPr>
          <t>Neil Pande:</t>
        </r>
        <r>
          <rPr>
            <sz val="9"/>
            <color indexed="81"/>
            <rFont val="Tahoma"/>
            <family val="2"/>
          </rPr>
          <t xml:space="preserve">
Feel free to overwrite the simple linear trending formula in this and subsequent cells!</t>
        </r>
      </text>
    </comment>
    <comment ref="E42" authorId="0" shapeId="0" xr:uid="{B40FB866-A1B4-4450-927C-DB87D3D70887}">
      <text>
        <r>
          <rPr>
            <b/>
            <sz val="9"/>
            <color indexed="81"/>
            <rFont val="Tahoma"/>
            <family val="2"/>
          </rPr>
          <t>Neil Pande:</t>
        </r>
        <r>
          <rPr>
            <sz val="9"/>
            <color indexed="81"/>
            <rFont val="Tahoma"/>
            <family val="2"/>
          </rPr>
          <t xml:space="preserve">
Feel free to overwrite the simple linear trending formula in this and subsequent cells!</t>
        </r>
      </text>
    </comment>
  </commentList>
</comments>
</file>

<file path=xl/sharedStrings.xml><?xml version="1.0" encoding="utf-8"?>
<sst xmlns="http://schemas.openxmlformats.org/spreadsheetml/2006/main" count="92" uniqueCount="80">
  <si>
    <t>Sales</t>
  </si>
  <si>
    <t>EBITDA</t>
  </si>
  <si>
    <t>EBIT</t>
  </si>
  <si>
    <t>EBT</t>
  </si>
  <si>
    <t>Check</t>
  </si>
  <si>
    <t>Inventories</t>
  </si>
  <si>
    <t>Capex</t>
  </si>
  <si>
    <t>Debt</t>
  </si>
  <si>
    <t>NOWC</t>
  </si>
  <si>
    <t>Equity</t>
  </si>
  <si>
    <t>Net margins</t>
  </si>
  <si>
    <t>Risk-free rate</t>
  </si>
  <si>
    <t>Equity value</t>
  </si>
  <si>
    <t xml:space="preserve">Sales growth rates </t>
  </si>
  <si>
    <t xml:space="preserve">Cash operating expense margins </t>
  </si>
  <si>
    <t xml:space="preserve">Depreciation and amortisation expenses </t>
  </si>
  <si>
    <t>D&amp;A as a % of Sales</t>
  </si>
  <si>
    <t>Cash operating expenses (CoGS and SG&amp;A)</t>
  </si>
  <si>
    <t>Net investment in NOWC</t>
  </si>
  <si>
    <t>Inventory days</t>
  </si>
  <si>
    <t>Receivables days</t>
  </si>
  <si>
    <t>Payables days</t>
  </si>
  <si>
    <t>Capex-to-D&amp;A mutliples</t>
  </si>
  <si>
    <t>Net investment in non-current assets</t>
  </si>
  <si>
    <t>Present value of visible period</t>
  </si>
  <si>
    <t>Present value of terminal period</t>
  </si>
  <si>
    <t>Number of outstanding shares (m)</t>
  </si>
  <si>
    <t xml:space="preserve">Equity risk premium </t>
  </si>
  <si>
    <t xml:space="preserve">Adjusted beta </t>
  </si>
  <si>
    <t xml:space="preserve">Cost of equity </t>
  </si>
  <si>
    <t xml:space="preserve">Terminal value calculation </t>
  </si>
  <si>
    <t xml:space="preserve">Terminal growth rate </t>
  </si>
  <si>
    <t xml:space="preserve">Terminal value as at Time 10 </t>
  </si>
  <si>
    <t xml:space="preserve">Receivables </t>
  </si>
  <si>
    <t xml:space="preserve">Payables </t>
  </si>
  <si>
    <t>Add: capex</t>
  </si>
  <si>
    <t>Less: D&amp;A expenses</t>
  </si>
  <si>
    <t>Interest expenses</t>
  </si>
  <si>
    <t>Effective interest rates (EIRs) on Debt</t>
  </si>
  <si>
    <t>Effective tax rates (ETRs) on EBT</t>
  </si>
  <si>
    <t>Net income</t>
  </si>
  <si>
    <t>Net reinvestment of net income</t>
  </si>
  <si>
    <t>Free cash flow to equity</t>
  </si>
  <si>
    <t xml:space="preserve">Cost of equity calculation </t>
  </si>
  <si>
    <t>Asset turnover</t>
  </si>
  <si>
    <t>Equity (leverage) multiplier</t>
  </si>
  <si>
    <t>Debt-to-EBITDA mutliples</t>
  </si>
  <si>
    <t>Example AG in EURm (unless stated)</t>
  </si>
  <si>
    <t>Free cash flow to equity forecasts</t>
  </si>
  <si>
    <t>Implied share price (EUR)</t>
  </si>
  <si>
    <t>Tax expenses</t>
  </si>
  <si>
    <t>Forecast</t>
  </si>
  <si>
    <t>Opening non-current assets</t>
  </si>
  <si>
    <t>Closing non-current assets</t>
  </si>
  <si>
    <t>Net operating assets</t>
  </si>
  <si>
    <t>Return on Equity (RoE)</t>
  </si>
  <si>
    <t>Year (1)</t>
  </si>
  <si>
    <t>Historical</t>
  </si>
  <si>
    <t>Disclaimer</t>
  </si>
  <si>
    <t>Instructions</t>
  </si>
  <si>
    <t>DuPont analysis</t>
  </si>
  <si>
    <t>Neil Pande</t>
  </si>
  <si>
    <t>For educational purposes only</t>
  </si>
  <si>
    <t>Inputs in blue font - replace to perform own valuation</t>
  </si>
  <si>
    <t>(Incr)/decr in inventories</t>
  </si>
  <si>
    <t>(Incr)/decr in receivables</t>
  </si>
  <si>
    <t>Incr/(decr) in payables</t>
  </si>
  <si>
    <t>Debt raised/(repaid)</t>
  </si>
  <si>
    <t>Free cash flow to equity – Year 10</t>
  </si>
  <si>
    <t>Free cash flow to equity – Year 11</t>
  </si>
  <si>
    <t>Prepared by</t>
  </si>
  <si>
    <t>Not intended for any other use</t>
  </si>
  <si>
    <t>Free cash flow to firm model</t>
  </si>
  <si>
    <t>For use with The Valuation Book</t>
  </si>
  <si>
    <t>Section F: Present Value Models: the Dividend Discount and Free Cash Flow Models</t>
  </si>
  <si>
    <t>Workings / Outputs in black font - change to amend (or break!) working of model</t>
  </si>
  <si>
    <t>Chapter 26: Free cash flow to equity (FCFE) - talk through</t>
  </si>
  <si>
    <t>Chapter 27: Free cash flow to equity (FCFE) - walk through and food for thought</t>
  </si>
  <si>
    <t>Equity value calculation</t>
  </si>
  <si>
    <t>Free cash flow to equity - food for thought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</si>
</sst>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164" formatCode="#,##0_);\(#,##0\);\-\-_)"/>
    <numFmt numFmtId="165" formatCode="0.00%_);\(0.00%\)"/>
    <numFmt numFmtId="166" formatCode="0\ &quot;days&quot;_);\(0\ &quot;days&quot;\)"/>
    <numFmt numFmtId="167" formatCode="0\ &quot;years&quot;_);\(0\ &quot;years&quot;\)"/>
    <numFmt numFmtId="168" formatCode="0.00\x;&quot;nm&quot;_x"/>
    <numFmt numFmtId="169" formatCode="0.00_);\(0.00\)"/>
    <numFmt numFmtId="170" formatCode="#,##0.0_);\(#,##0.0\);\-\-_)"/>
    <numFmt numFmtId="171" formatCode="0.0%_);\(0.0%\)"/>
    <numFmt numFmtId="172" formatCode="#,##0.00_);\(#,##0.00\);\-\-_)"/>
    <numFmt numFmtId="173" formatCode="0.0_);\(0.0\)"/>
    <numFmt numFmtId="174" formatCode="0%_);\(0%\)"/>
    <numFmt numFmtId="175" formatCode="0.0\ &quot;days&quot;_);\(0.0\ &quot;days&quot;\)"/>
    <numFmt numFmtId="176" formatCode="&quot;Year &quot;0"/>
  </numFmts>
  <fonts count="27" x14ac:knownFonts="1">
    <font>
      <sz val="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24"/>
      <color rgb="FF006100"/>
      <name val="Calibri"/>
      <family val="2"/>
      <scheme val="minor"/>
    </font>
    <font>
      <sz val="24"/>
      <color rgb="FF9C0006"/>
      <name val="Calibri"/>
      <family val="2"/>
      <scheme val="minor"/>
    </font>
    <font>
      <sz val="24"/>
      <color rgb="FF9C57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24"/>
      <color rgb="FF3F3F76"/>
      <name val="Calibri"/>
      <family val="2"/>
      <scheme val="minor"/>
    </font>
    <font>
      <b/>
      <sz val="24"/>
      <color rgb="FF3F3F3F"/>
      <name val="Calibri"/>
      <family val="2"/>
      <scheme val="minor"/>
    </font>
    <font>
      <b/>
      <sz val="24"/>
      <color rgb="FFFA7D00"/>
      <name val="Calibri"/>
      <family val="2"/>
      <scheme val="minor"/>
    </font>
    <font>
      <sz val="24"/>
      <color rgb="FFFA7D0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rgb="FFFF0000"/>
      <name val="Calibri"/>
      <family val="2"/>
      <scheme val="minor"/>
    </font>
    <font>
      <i/>
      <sz val="24"/>
      <color rgb="FF7F7F7F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rgb="FF0070C0"/>
      <name val="Calibri"/>
      <family val="2"/>
      <scheme val="minor"/>
    </font>
    <font>
      <i/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164" fontId="0" fillId="0" borderId="0"/>
    <xf numFmtId="165" fontId="2" fillId="0" borderId="0" applyFont="0" applyFill="0" applyBorder="0" applyAlignment="0" applyProtection="0"/>
    <xf numFmtId="164" fontId="3" fillId="0" borderId="1" applyNumberFormat="0" applyFill="0" applyAlignment="0" applyProtection="0"/>
    <xf numFmtId="164" fontId="3" fillId="0" borderId="2" applyNumberFormat="0" applyFill="0" applyAlignment="0" applyProtection="0"/>
    <xf numFmtId="166" fontId="2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6" applyNumberFormat="0" applyAlignment="0" applyProtection="0"/>
    <xf numFmtId="0" fontId="14" fillId="7" borderId="7" applyNumberFormat="0" applyAlignment="0" applyProtection="0"/>
    <xf numFmtId="0" fontId="15" fillId="7" borderId="6" applyNumberFormat="0" applyAlignment="0" applyProtection="0"/>
    <xf numFmtId="0" fontId="16" fillId="0" borderId="8" applyNumberFormat="0" applyFill="0" applyAlignment="0" applyProtection="0"/>
    <xf numFmtId="0" fontId="17" fillId="8" borderId="9" applyNumberFormat="0" applyAlignment="0" applyProtection="0"/>
    <xf numFmtId="0" fontId="18" fillId="0" borderId="0" applyNumberFormat="0" applyFill="0" applyBorder="0" applyAlignment="0" applyProtection="0"/>
    <xf numFmtId="0" fontId="2" fillId="9" borderId="10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3" fillId="0" borderId="0"/>
  </cellStyleXfs>
  <cellXfs count="67">
    <xf numFmtId="164" fontId="0" fillId="0" borderId="0" xfId="0"/>
    <xf numFmtId="170" fontId="4" fillId="2" borderId="0" xfId="0" applyNumberFormat="1" applyFont="1" applyFill="1"/>
    <xf numFmtId="170" fontId="0" fillId="2" borderId="0" xfId="0" applyNumberFormat="1" applyFill="1"/>
    <xf numFmtId="164" fontId="0" fillId="2" borderId="0" xfId="0" applyFill="1"/>
    <xf numFmtId="164" fontId="5" fillId="0" borderId="0" xfId="0" applyFont="1"/>
    <xf numFmtId="164" fontId="3" fillId="0" borderId="1" xfId="2"/>
    <xf numFmtId="164" fontId="3" fillId="0" borderId="2" xfId="3"/>
    <xf numFmtId="165" fontId="0" fillId="0" borderId="0" xfId="1" applyFont="1"/>
    <xf numFmtId="164" fontId="3" fillId="0" borderId="0" xfId="0" applyFont="1"/>
    <xf numFmtId="165" fontId="3" fillId="0" borderId="1" xfId="2" applyNumberFormat="1"/>
    <xf numFmtId="169" fontId="3" fillId="0" borderId="0" xfId="51" applyFont="1"/>
    <xf numFmtId="164" fontId="3" fillId="0" borderId="0" xfId="0" applyFont="1" applyAlignment="1">
      <alignment horizontal="right"/>
    </xf>
    <xf numFmtId="170" fontId="0" fillId="0" borderId="0" xfId="0" applyNumberFormat="1"/>
    <xf numFmtId="170" fontId="3" fillId="0" borderId="1" xfId="2" applyNumberFormat="1"/>
    <xf numFmtId="170" fontId="5" fillId="0" borderId="0" xfId="0" applyNumberFormat="1" applyFont="1"/>
    <xf numFmtId="170" fontId="22" fillId="0" borderId="1" xfId="2" applyNumberFormat="1" applyFont="1"/>
    <xf numFmtId="172" fontId="0" fillId="0" borderId="0" xfId="0" applyNumberFormat="1"/>
    <xf numFmtId="171" fontId="0" fillId="0" borderId="0" xfId="1" applyNumberFormat="1" applyFont="1"/>
    <xf numFmtId="171" fontId="3" fillId="0" borderId="1" xfId="2" applyNumberFormat="1"/>
    <xf numFmtId="170" fontId="3" fillId="0" borderId="2" xfId="3" applyNumberFormat="1"/>
    <xf numFmtId="170" fontId="3" fillId="0" borderId="0" xfId="0" applyNumberFormat="1" applyFont="1"/>
    <xf numFmtId="171" fontId="23" fillId="0" borderId="0" xfId="1" applyNumberFormat="1" applyFont="1"/>
    <xf numFmtId="168" fontId="23" fillId="0" borderId="0" xfId="50" applyFont="1"/>
    <xf numFmtId="170" fontId="4" fillId="0" borderId="0" xfId="0" applyNumberFormat="1" applyFont="1"/>
    <xf numFmtId="173" fontId="4" fillId="0" borderId="0" xfId="51" applyNumberFormat="1" applyFont="1"/>
    <xf numFmtId="171" fontId="4" fillId="0" borderId="0" xfId="1" applyNumberFormat="1" applyFont="1"/>
    <xf numFmtId="169" fontId="4" fillId="0" borderId="0" xfId="51" applyFont="1"/>
    <xf numFmtId="170" fontId="23" fillId="0" borderId="0" xfId="0" applyNumberFormat="1" applyFont="1"/>
    <xf numFmtId="170" fontId="4" fillId="0" borderId="0" xfId="51" applyNumberFormat="1" applyFont="1"/>
    <xf numFmtId="171" fontId="3" fillId="0" borderId="2" xfId="3" applyNumberFormat="1"/>
    <xf numFmtId="168" fontId="3" fillId="0" borderId="1" xfId="2" applyNumberFormat="1"/>
    <xf numFmtId="174" fontId="5" fillId="0" borderId="0" xfId="1" applyNumberFormat="1" applyFont="1"/>
    <xf numFmtId="165" fontId="23" fillId="0" borderId="0" xfId="1" applyFont="1"/>
    <xf numFmtId="175" fontId="23" fillId="0" borderId="0" xfId="4" applyNumberFormat="1" applyFont="1"/>
    <xf numFmtId="176" fontId="3" fillId="0" borderId="0" xfId="52"/>
    <xf numFmtId="176" fontId="22" fillId="0" borderId="0" xfId="52" applyFont="1"/>
    <xf numFmtId="164" fontId="22" fillId="0" borderId="0" xfId="0" applyFont="1" applyAlignment="1">
      <alignment horizontal="right"/>
    </xf>
    <xf numFmtId="170" fontId="23" fillId="0" borderId="1" xfId="2" applyNumberFormat="1" applyFont="1"/>
    <xf numFmtId="170" fontId="23" fillId="0" borderId="0" xfId="51" applyNumberFormat="1" applyFont="1"/>
    <xf numFmtId="171" fontId="22" fillId="0" borderId="2" xfId="3" applyNumberFormat="1" applyFont="1"/>
    <xf numFmtId="171" fontId="22" fillId="0" borderId="1" xfId="2" applyNumberFormat="1" applyFont="1"/>
    <xf numFmtId="172" fontId="5" fillId="0" borderId="0" xfId="0" applyNumberFormat="1" applyFont="1"/>
    <xf numFmtId="168" fontId="22" fillId="0" borderId="1" xfId="2" applyNumberFormat="1" applyFont="1"/>
    <xf numFmtId="176" fontId="22" fillId="0" borderId="0" xfId="52" applyFont="1" applyAlignment="1">
      <alignment horizontal="right"/>
    </xf>
    <xf numFmtId="164" fontId="3" fillId="0" borderId="1" xfId="2" applyFill="1"/>
    <xf numFmtId="168" fontId="3" fillId="0" borderId="1" xfId="2" applyNumberFormat="1" applyFill="1"/>
    <xf numFmtId="168" fontId="22" fillId="0" borderId="1" xfId="2" applyNumberFormat="1" applyFont="1" applyFill="1"/>
    <xf numFmtId="165" fontId="23" fillId="0" borderId="12" xfId="1" applyFont="1" applyBorder="1"/>
    <xf numFmtId="165" fontId="23" fillId="0" borderId="2" xfId="1" applyFont="1" applyBorder="1"/>
    <xf numFmtId="165" fontId="23" fillId="0" borderId="13" xfId="1" applyFont="1" applyBorder="1"/>
    <xf numFmtId="171" fontId="23" fillId="0" borderId="12" xfId="1" applyNumberFormat="1" applyFont="1" applyBorder="1"/>
    <xf numFmtId="171" fontId="23" fillId="0" borderId="2" xfId="1" applyNumberFormat="1" applyFont="1" applyBorder="1"/>
    <xf numFmtId="171" fontId="23" fillId="0" borderId="13" xfId="1" applyNumberFormat="1" applyFont="1" applyBorder="1"/>
    <xf numFmtId="175" fontId="23" fillId="0" borderId="12" xfId="4" applyNumberFormat="1" applyFont="1" applyBorder="1"/>
    <xf numFmtId="175" fontId="23" fillId="0" borderId="2" xfId="4" applyNumberFormat="1" applyFont="1" applyBorder="1"/>
    <xf numFmtId="175" fontId="23" fillId="0" borderId="13" xfId="4" applyNumberFormat="1" applyFont="1" applyBorder="1"/>
    <xf numFmtId="168" fontId="23" fillId="0" borderId="12" xfId="50" applyFont="1" applyBorder="1"/>
    <xf numFmtId="168" fontId="23" fillId="0" borderId="2" xfId="50" applyFont="1" applyBorder="1"/>
    <xf numFmtId="168" fontId="23" fillId="0" borderId="13" xfId="50" applyFont="1" applyBorder="1"/>
    <xf numFmtId="171" fontId="24" fillId="0" borderId="0" xfId="1" applyNumberFormat="1" applyFont="1"/>
    <xf numFmtId="165" fontId="24" fillId="0" borderId="0" xfId="1" applyFont="1"/>
    <xf numFmtId="175" fontId="24" fillId="0" borderId="0" xfId="4" applyNumberFormat="1" applyFont="1"/>
    <xf numFmtId="168" fontId="24" fillId="0" borderId="0" xfId="50" applyFont="1"/>
    <xf numFmtId="164" fontId="3" fillId="35" borderId="0" xfId="0" applyFont="1" applyFill="1"/>
    <xf numFmtId="164" fontId="0" fillId="35" borderId="0" xfId="0" applyFill="1"/>
    <xf numFmtId="164" fontId="3" fillId="34" borderId="2" xfId="3" applyFill="1"/>
    <xf numFmtId="169" fontId="3" fillId="34" borderId="2" xfId="51" applyFont="1" applyFill="1" applyBorder="1"/>
  </cellXfs>
  <cellStyles count="53">
    <cellStyle name="20% - Accent1" xfId="26" builtinId="30" hidden="1"/>
    <cellStyle name="20% - Accent2" xfId="30" builtinId="34" hidden="1"/>
    <cellStyle name="20% - Accent3" xfId="34" builtinId="38" hidden="1"/>
    <cellStyle name="20% - Accent4" xfId="38" builtinId="42" hidden="1"/>
    <cellStyle name="20% - Accent5" xfId="42" builtinId="46" hidden="1"/>
    <cellStyle name="20% - Accent6" xfId="46" builtinId="50" hidden="1"/>
    <cellStyle name="40% - Accent1" xfId="27" builtinId="31" hidden="1"/>
    <cellStyle name="40% - Accent2" xfId="31" builtinId="35" hidden="1"/>
    <cellStyle name="40% - Accent3" xfId="35" builtinId="39" hidden="1"/>
    <cellStyle name="40% - Accent4" xfId="39" builtinId="43" hidden="1"/>
    <cellStyle name="40% - Accent5" xfId="43" builtinId="47" hidden="1"/>
    <cellStyle name="40% - Accent6" xfId="47" builtinId="51" hidden="1"/>
    <cellStyle name="60% - Accent1" xfId="28" builtinId="32" hidden="1"/>
    <cellStyle name="60% - Accent2" xfId="32" builtinId="36" hidden="1"/>
    <cellStyle name="60% - Accent3" xfId="36" builtinId="40" hidden="1"/>
    <cellStyle name="60% - Accent4" xfId="40" builtinId="44" hidden="1"/>
    <cellStyle name="60% - Accent5" xfId="44" builtinId="48" hidden="1"/>
    <cellStyle name="60% - Accent6" xfId="48" builtinId="52" hidden="1"/>
    <cellStyle name="Accent1" xfId="25" builtinId="29" hidden="1"/>
    <cellStyle name="Accent2" xfId="29" builtinId="33" hidden="1"/>
    <cellStyle name="Accent3" xfId="33" builtinId="37" hidden="1"/>
    <cellStyle name="Accent4" xfId="37" builtinId="41" hidden="1"/>
    <cellStyle name="Accent5" xfId="41" builtinId="45" hidden="1"/>
    <cellStyle name="Accent6" xfId="45" builtinId="49" hidden="1"/>
    <cellStyle name="Bad" xfId="6" builtinId="27" hidden="1"/>
    <cellStyle name="Calculation" xfId="18" builtinId="22" hidden="1"/>
    <cellStyle name="Check Cell" xfId="20" builtinId="23" hidden="1"/>
    <cellStyle name="Comma" xfId="51" builtinId="3" customBuiltin="1"/>
    <cellStyle name="Comma [0]" xfId="8" builtinId="6" hidden="1"/>
    <cellStyle name="Currency" xfId="9" builtinId="4" hidden="1"/>
    <cellStyle name="Currency [0]" xfId="10" builtinId="7" hidden="1"/>
    <cellStyle name="Days" xfId="4" xr:uid="{0F5DC9CA-0852-4C16-A613-0339B4B36120}"/>
    <cellStyle name="Explanatory Text" xfId="23" builtinId="53" hidden="1"/>
    <cellStyle name="Good" xfId="5" builtinId="26" hidden="1"/>
    <cellStyle name="Heading 1" xfId="12" builtinId="16" hidden="1"/>
    <cellStyle name="Heading 2" xfId="13" builtinId="17" hidden="1"/>
    <cellStyle name="Heading 3" xfId="14" builtinId="18" hidden="1"/>
    <cellStyle name="Heading 4" xfId="15" builtinId="19" hidden="1"/>
    <cellStyle name="Input" xfId="16" builtinId="20" hidden="1"/>
    <cellStyle name="Linked Cell" xfId="19" builtinId="24" hidden="1"/>
    <cellStyle name="Multiples2dp" xfId="50" xr:uid="{FF46AEED-DF9B-4954-A60F-3C06CF9F1D3A}"/>
    <cellStyle name="Neutral" xfId="7" builtinId="28" hidden="1"/>
    <cellStyle name="Normal" xfId="0" builtinId="0" customBuiltin="1"/>
    <cellStyle name="Note" xfId="22" builtinId="10" hidden="1"/>
    <cellStyle name="Output" xfId="17" builtinId="21" hidden="1"/>
    <cellStyle name="Percent" xfId="1" builtinId="5" customBuiltin="1"/>
    <cellStyle name="Sub-Totals" xfId="2" xr:uid="{C6B24BB6-2A61-4BC7-A028-24780A074BFB}"/>
    <cellStyle name="Title" xfId="11" builtinId="15" hidden="1"/>
    <cellStyle name="Total" xfId="24" builtinId="25" hidden="1"/>
    <cellStyle name="Totals" xfId="3" xr:uid="{8AC9295F-FF11-4555-BCA6-CCE27EA42E87}"/>
    <cellStyle name="Warning Text" xfId="21" builtinId="11" hidden="1"/>
    <cellStyle name="Year" xfId="52" xr:uid="{2471BB3F-920D-46D0-90CE-D1BFEF413F1D}"/>
    <cellStyle name="Years" xfId="49" xr:uid="{C6136F47-5C8B-4450-9BAB-E474A69BAA22}"/>
  </cellStyles>
  <dxfs count="0"/>
  <tableStyles count="0" defaultTableStyle="TableStyleMedium2" defaultPivotStyle="PivotStyleLight16"/>
  <colors>
    <mruColors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3372</xdr:colOff>
      <xdr:row>31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FA9552-40E5-69E1-55EF-8F1320D31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42875"/>
          <a:ext cx="3737172" cy="428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1198D-DA49-4651-9FE4-5389AA39BB8F}">
  <dimension ref="A1:S32"/>
  <sheetViews>
    <sheetView showGridLines="0" tabSelected="1" workbookViewId="0"/>
  </sheetViews>
  <sheetFormatPr defaultColWidth="0" defaultRowHeight="11.25" zeroHeight="1" x14ac:dyDescent="0.2"/>
  <cols>
    <col min="1" max="1" width="2.83203125" customWidth="1"/>
    <col min="2" max="8" width="9.33203125" customWidth="1"/>
    <col min="9" max="9" width="2.83203125" customWidth="1"/>
    <col min="10" max="18" width="9.33203125" customWidth="1"/>
    <col min="19" max="19" width="2.83203125" customWidth="1"/>
    <col min="20" max="16384" width="9.33203125" hidden="1"/>
  </cols>
  <sheetData>
    <row r="1" spans="10:18" x14ac:dyDescent="0.2"/>
    <row r="2" spans="10:18" x14ac:dyDescent="0.2">
      <c r="J2" s="63" t="s">
        <v>70</v>
      </c>
      <c r="K2" s="64"/>
      <c r="L2" s="64"/>
      <c r="M2" s="64"/>
      <c r="N2" s="64"/>
      <c r="O2" s="64"/>
      <c r="P2" s="64"/>
      <c r="Q2" s="64"/>
      <c r="R2" s="64"/>
    </row>
    <row r="3" spans="10:18" x14ac:dyDescent="0.2"/>
    <row r="4" spans="10:18" x14ac:dyDescent="0.2">
      <c r="J4" s="8" t="s">
        <v>61</v>
      </c>
    </row>
    <row r="5" spans="10:18" x14ac:dyDescent="0.2"/>
    <row r="6" spans="10:18" x14ac:dyDescent="0.2">
      <c r="J6" s="63" t="s">
        <v>58</v>
      </c>
      <c r="K6" s="64"/>
      <c r="L6" s="64"/>
      <c r="M6" s="64"/>
      <c r="N6" s="64"/>
      <c r="O6" s="64"/>
      <c r="P6" s="64"/>
      <c r="Q6" s="64"/>
      <c r="R6" s="64"/>
    </row>
    <row r="7" spans="10:18" x14ac:dyDescent="0.2"/>
    <row r="8" spans="10:18" x14ac:dyDescent="0.2">
      <c r="J8" s="8" t="s">
        <v>62</v>
      </c>
    </row>
    <row r="9" spans="10:18" x14ac:dyDescent="0.2">
      <c r="J9" s="8" t="s">
        <v>71</v>
      </c>
    </row>
    <row r="10" spans="10:18" x14ac:dyDescent="0.2"/>
    <row r="11" spans="10:18" x14ac:dyDescent="0.2">
      <c r="J11" s="63" t="s">
        <v>72</v>
      </c>
      <c r="K11" s="64"/>
      <c r="L11" s="64"/>
      <c r="M11" s="64"/>
      <c r="N11" s="64"/>
      <c r="O11" s="64"/>
      <c r="P11" s="64"/>
      <c r="Q11" s="64"/>
      <c r="R11" s="64"/>
    </row>
    <row r="12" spans="10:18" x14ac:dyDescent="0.2"/>
    <row r="13" spans="10:18" x14ac:dyDescent="0.2">
      <c r="J13" s="8" t="s">
        <v>73</v>
      </c>
    </row>
    <row r="14" spans="10:18" x14ac:dyDescent="0.2"/>
    <row r="15" spans="10:18" x14ac:dyDescent="0.2">
      <c r="K15" s="8" t="s">
        <v>74</v>
      </c>
    </row>
    <row r="16" spans="10:18" x14ac:dyDescent="0.2"/>
    <row r="17" spans="10:18" x14ac:dyDescent="0.2">
      <c r="L17" s="8" t="s">
        <v>76</v>
      </c>
    </row>
    <row r="18" spans="10:18" x14ac:dyDescent="0.2">
      <c r="L18" s="8" t="s">
        <v>77</v>
      </c>
    </row>
    <row r="19" spans="10:18" x14ac:dyDescent="0.2"/>
    <row r="20" spans="10:18" x14ac:dyDescent="0.2">
      <c r="J20" s="63" t="s">
        <v>59</v>
      </c>
      <c r="K20" s="64"/>
      <c r="L20" s="64"/>
      <c r="M20" s="64"/>
      <c r="N20" s="64"/>
      <c r="O20" s="64"/>
      <c r="P20" s="64"/>
      <c r="Q20" s="64"/>
      <c r="R20" s="64"/>
    </row>
    <row r="21" spans="10:18" x14ac:dyDescent="0.2"/>
    <row r="22" spans="10:18" x14ac:dyDescent="0.2">
      <c r="J22" s="8" t="s">
        <v>63</v>
      </c>
    </row>
    <row r="23" spans="10:18" x14ac:dyDescent="0.2">
      <c r="J23" s="8" t="s">
        <v>75</v>
      </c>
    </row>
    <row r="24" spans="10:18" x14ac:dyDescent="0.2"/>
    <row r="25" spans="10:18" x14ac:dyDescent="0.2"/>
    <row r="26" spans="10:18" x14ac:dyDescent="0.2"/>
    <row r="27" spans="10:18" x14ac:dyDescent="0.2"/>
    <row r="28" spans="10:18" x14ac:dyDescent="0.2"/>
    <row r="29" spans="10:18" x14ac:dyDescent="0.2"/>
    <row r="30" spans="10:18" x14ac:dyDescent="0.2"/>
    <row r="31" spans="10:18" x14ac:dyDescent="0.2"/>
    <row r="32" spans="10:18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55209-3E93-4075-9EAF-D8C6291034C1}">
  <dimension ref="A1:O119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0" defaultRowHeight="11.25" zeroHeight="1" x14ac:dyDescent="0.2"/>
  <cols>
    <col min="1" max="1" width="2.6640625" customWidth="1"/>
    <col min="2" max="2" width="40.1640625" bestFit="1" customWidth="1"/>
    <col min="3" max="6" width="10.83203125" customWidth="1"/>
    <col min="7" max="14" width="10.83203125" bestFit="1" customWidth="1"/>
    <col min="15" max="15" width="2.6640625" customWidth="1"/>
    <col min="16" max="16384" width="9" hidden="1"/>
  </cols>
  <sheetData>
    <row r="1" spans="2:14" x14ac:dyDescent="0.2"/>
    <row r="2" spans="2:14" x14ac:dyDescent="0.2">
      <c r="B2" s="8" t="s">
        <v>47</v>
      </c>
      <c r="C2" s="43" t="s">
        <v>56</v>
      </c>
      <c r="D2" s="35">
        <v>0</v>
      </c>
      <c r="E2" s="34">
        <f>D2+1</f>
        <v>1</v>
      </c>
      <c r="F2" s="34">
        <f t="shared" ref="F2:N2" si="0">E2+1</f>
        <v>2</v>
      </c>
      <c r="G2" s="34">
        <f t="shared" si="0"/>
        <v>3</v>
      </c>
      <c r="H2" s="34">
        <f t="shared" si="0"/>
        <v>4</v>
      </c>
      <c r="I2" s="34">
        <f t="shared" si="0"/>
        <v>5</v>
      </c>
      <c r="J2" s="34">
        <f t="shared" si="0"/>
        <v>6</v>
      </c>
      <c r="K2" s="34">
        <f t="shared" si="0"/>
        <v>7</v>
      </c>
      <c r="L2" s="34">
        <f t="shared" si="0"/>
        <v>8</v>
      </c>
      <c r="M2" s="34">
        <f t="shared" si="0"/>
        <v>9</v>
      </c>
      <c r="N2" s="34">
        <f t="shared" si="0"/>
        <v>10</v>
      </c>
    </row>
    <row r="3" spans="2:14" x14ac:dyDescent="0.2">
      <c r="C3" s="36" t="s">
        <v>57</v>
      </c>
      <c r="D3" s="36" t="s">
        <v>57</v>
      </c>
      <c r="E3" s="11" t="s">
        <v>51</v>
      </c>
      <c r="F3" s="11" t="s">
        <v>51</v>
      </c>
      <c r="G3" s="11" t="s">
        <v>51</v>
      </c>
      <c r="H3" s="11" t="s">
        <v>51</v>
      </c>
      <c r="I3" s="11" t="s">
        <v>51</v>
      </c>
      <c r="J3" s="11" t="s">
        <v>51</v>
      </c>
      <c r="K3" s="11" t="s">
        <v>51</v>
      </c>
      <c r="L3" s="11" t="s">
        <v>51</v>
      </c>
      <c r="M3" s="11" t="s">
        <v>51</v>
      </c>
      <c r="N3" s="11" t="s">
        <v>51</v>
      </c>
    </row>
    <row r="4" spans="2:14" x14ac:dyDescent="0.2"/>
    <row r="5" spans="2:14" x14ac:dyDescent="0.2">
      <c r="B5" s="63" t="s">
        <v>48</v>
      </c>
      <c r="C5" s="63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 x14ac:dyDescent="0.2"/>
    <row r="7" spans="2:14" x14ac:dyDescent="0.2">
      <c r="B7" t="s">
        <v>0</v>
      </c>
      <c r="C7" s="27">
        <v>961.53846153846155</v>
      </c>
      <c r="D7" s="27">
        <v>1000</v>
      </c>
      <c r="E7" s="12">
        <f>D7*(1+E8)</f>
        <v>1037.5</v>
      </c>
      <c r="F7" s="12">
        <f t="shared" ref="F7:N7" si="1">E7*(1+F8)</f>
        <v>1073.8125000000002</v>
      </c>
      <c r="G7" s="12">
        <f t="shared" si="1"/>
        <v>1108.7114062500002</v>
      </c>
      <c r="H7" s="12">
        <f t="shared" si="1"/>
        <v>1141.9727484375003</v>
      </c>
      <c r="I7" s="12">
        <f t="shared" si="1"/>
        <v>1173.3769990195317</v>
      </c>
      <c r="J7" s="12">
        <f t="shared" si="1"/>
        <v>1202.7114239950199</v>
      </c>
      <c r="K7" s="12">
        <f t="shared" si="1"/>
        <v>1229.7724310349079</v>
      </c>
      <c r="L7" s="12">
        <f t="shared" si="1"/>
        <v>1254.367879655606</v>
      </c>
      <c r="M7" s="12">
        <f t="shared" si="1"/>
        <v>1276.3193175495792</v>
      </c>
      <c r="N7" s="12">
        <f t="shared" si="1"/>
        <v>1295.4641073128228</v>
      </c>
    </row>
    <row r="8" spans="2:14" x14ac:dyDescent="0.2">
      <c r="B8" s="4" t="s">
        <v>13</v>
      </c>
      <c r="C8" s="4"/>
      <c r="D8" s="60">
        <f>D7/C7-1</f>
        <v>4.0000000000000036E-2</v>
      </c>
      <c r="E8" s="47">
        <f>D8-(D8-$N8)/($N$2-D$2)</f>
        <v>3.7500000000000033E-2</v>
      </c>
      <c r="F8" s="48">
        <f t="shared" ref="F8:M8" si="2">E8-(E8-$N8)/($N$2-E$2)</f>
        <v>3.5000000000000031E-2</v>
      </c>
      <c r="G8" s="48">
        <f t="shared" si="2"/>
        <v>3.2500000000000029E-2</v>
      </c>
      <c r="H8" s="48">
        <f t="shared" si="2"/>
        <v>3.0000000000000023E-2</v>
      </c>
      <c r="I8" s="48">
        <f t="shared" si="2"/>
        <v>2.7500000000000017E-2</v>
      </c>
      <c r="J8" s="48">
        <f t="shared" si="2"/>
        <v>2.5000000000000015E-2</v>
      </c>
      <c r="K8" s="48">
        <f t="shared" si="2"/>
        <v>2.2500000000000013E-2</v>
      </c>
      <c r="L8" s="48">
        <f t="shared" si="2"/>
        <v>2.0000000000000007E-2</v>
      </c>
      <c r="M8" s="49">
        <f t="shared" si="2"/>
        <v>1.7500000000000002E-2</v>
      </c>
      <c r="N8" s="32">
        <v>1.4999999999999999E-2</v>
      </c>
    </row>
    <row r="9" spans="2:14" x14ac:dyDescent="0.2">
      <c r="B9" t="s">
        <v>17</v>
      </c>
      <c r="D9" s="27">
        <v>-780</v>
      </c>
      <c r="E9" s="12">
        <f>E7*E10*-1</f>
        <v>-811.32500000000005</v>
      </c>
      <c r="F9" s="12">
        <f t="shared" ref="F9:N9" si="3">F7*F10*-1</f>
        <v>-841.86900000000026</v>
      </c>
      <c r="G9" s="12">
        <f t="shared" si="3"/>
        <v>-871.44716531250015</v>
      </c>
      <c r="H9" s="12">
        <f t="shared" si="3"/>
        <v>-899.87452576875023</v>
      </c>
      <c r="I9" s="12">
        <f t="shared" si="3"/>
        <v>-926.96782922543014</v>
      </c>
      <c r="J9" s="12">
        <f t="shared" si="3"/>
        <v>-952.54744780405576</v>
      </c>
      <c r="K9" s="12">
        <f t="shared" si="3"/>
        <v>-976.43931024171684</v>
      </c>
      <c r="L9" s="12">
        <f t="shared" si="3"/>
        <v>-998.47683220586237</v>
      </c>
      <c r="M9" s="12">
        <f t="shared" si="3"/>
        <v>-1018.5028154045642</v>
      </c>
      <c r="N9" s="12">
        <f t="shared" si="3"/>
        <v>-1036.3712858502583</v>
      </c>
    </row>
    <row r="10" spans="2:14" x14ac:dyDescent="0.2">
      <c r="B10" s="4" t="s">
        <v>14</v>
      </c>
      <c r="C10" s="4"/>
      <c r="D10" s="59">
        <f>D9/D7*-1</f>
        <v>0.78</v>
      </c>
      <c r="E10" s="50">
        <f>D10-(D10-$N10)/($N$2-D$2)</f>
        <v>0.78200000000000003</v>
      </c>
      <c r="F10" s="51">
        <f t="shared" ref="F10:M10" si="4">E10-(E10-$N10)/($N$2-E$2)</f>
        <v>0.78400000000000003</v>
      </c>
      <c r="G10" s="51">
        <f t="shared" si="4"/>
        <v>0.78600000000000003</v>
      </c>
      <c r="H10" s="51">
        <f t="shared" si="4"/>
        <v>0.78800000000000003</v>
      </c>
      <c r="I10" s="51">
        <f t="shared" si="4"/>
        <v>0.79</v>
      </c>
      <c r="J10" s="51">
        <f t="shared" si="4"/>
        <v>0.79200000000000004</v>
      </c>
      <c r="K10" s="51">
        <f t="shared" si="4"/>
        <v>0.79400000000000004</v>
      </c>
      <c r="L10" s="51">
        <f t="shared" si="4"/>
        <v>0.79600000000000004</v>
      </c>
      <c r="M10" s="52">
        <f t="shared" si="4"/>
        <v>0.79800000000000004</v>
      </c>
      <c r="N10" s="21">
        <v>0.8</v>
      </c>
    </row>
    <row r="11" spans="2:14" x14ac:dyDescent="0.2">
      <c r="B11" s="5" t="s">
        <v>1</v>
      </c>
      <c r="C11" s="5"/>
      <c r="D11" s="15">
        <f>D7+D9</f>
        <v>220</v>
      </c>
      <c r="E11" s="13">
        <f t="shared" ref="E11:N11" si="5">E7+E9</f>
        <v>226.17499999999995</v>
      </c>
      <c r="F11" s="13">
        <f t="shared" si="5"/>
        <v>231.94349999999997</v>
      </c>
      <c r="G11" s="13">
        <f t="shared" si="5"/>
        <v>237.26424093750006</v>
      </c>
      <c r="H11" s="13">
        <f t="shared" si="5"/>
        <v>242.09822266875005</v>
      </c>
      <c r="I11" s="13">
        <f t="shared" si="5"/>
        <v>246.40916979410156</v>
      </c>
      <c r="J11" s="13">
        <f t="shared" si="5"/>
        <v>250.16397619096415</v>
      </c>
      <c r="K11" s="13">
        <f t="shared" si="5"/>
        <v>253.33312079319103</v>
      </c>
      <c r="L11" s="13">
        <f t="shared" si="5"/>
        <v>255.89104744974361</v>
      </c>
      <c r="M11" s="13">
        <f t="shared" si="5"/>
        <v>257.81650214501497</v>
      </c>
      <c r="N11" s="13">
        <f t="shared" si="5"/>
        <v>259.09282146256442</v>
      </c>
    </row>
    <row r="12" spans="2:14" x14ac:dyDescent="0.2">
      <c r="B12" t="s">
        <v>15</v>
      </c>
      <c r="D12" s="27">
        <v>-30</v>
      </c>
      <c r="E12" s="12">
        <f>E7*E13*-1</f>
        <v>-31.125</v>
      </c>
      <c r="F12" s="12">
        <f t="shared" ref="F12:N12" si="6">F7*F13*-1</f>
        <v>-32.214375000000004</v>
      </c>
      <c r="G12" s="12">
        <f t="shared" si="6"/>
        <v>-33.261342187500006</v>
      </c>
      <c r="H12" s="12">
        <f t="shared" si="6"/>
        <v>-34.259182453125007</v>
      </c>
      <c r="I12" s="12">
        <f t="shared" si="6"/>
        <v>-35.201309970585946</v>
      </c>
      <c r="J12" s="12">
        <f t="shared" si="6"/>
        <v>-36.081342719850596</v>
      </c>
      <c r="K12" s="12">
        <f t="shared" si="6"/>
        <v>-36.893172931047232</v>
      </c>
      <c r="L12" s="12">
        <f t="shared" si="6"/>
        <v>-37.631036389668175</v>
      </c>
      <c r="M12" s="12">
        <f t="shared" si="6"/>
        <v>-38.289579526487373</v>
      </c>
      <c r="N12" s="12">
        <f t="shared" si="6"/>
        <v>-38.863923219384681</v>
      </c>
    </row>
    <row r="13" spans="2:14" x14ac:dyDescent="0.2">
      <c r="B13" s="4" t="s">
        <v>16</v>
      </c>
      <c r="C13" s="4"/>
      <c r="D13" s="59">
        <f>D12/D7*-1</f>
        <v>0.03</v>
      </c>
      <c r="E13" s="50">
        <f>D13-(D13-$N13)/($N$2-D$2)</f>
        <v>0.03</v>
      </c>
      <c r="F13" s="51">
        <f t="shared" ref="F13:M13" si="7">E13-(E13-$N13)/($N$2-E$2)</f>
        <v>0.03</v>
      </c>
      <c r="G13" s="51">
        <f t="shared" si="7"/>
        <v>0.03</v>
      </c>
      <c r="H13" s="51">
        <f t="shared" si="7"/>
        <v>0.03</v>
      </c>
      <c r="I13" s="51">
        <f t="shared" si="7"/>
        <v>0.03</v>
      </c>
      <c r="J13" s="51">
        <f t="shared" si="7"/>
        <v>0.03</v>
      </c>
      <c r="K13" s="51">
        <f t="shared" si="7"/>
        <v>0.03</v>
      </c>
      <c r="L13" s="51">
        <f t="shared" si="7"/>
        <v>0.03</v>
      </c>
      <c r="M13" s="52">
        <f t="shared" si="7"/>
        <v>0.03</v>
      </c>
      <c r="N13" s="21">
        <v>0.03</v>
      </c>
    </row>
    <row r="14" spans="2:14" x14ac:dyDescent="0.2">
      <c r="B14" s="5" t="s">
        <v>2</v>
      </c>
      <c r="C14" s="5"/>
      <c r="D14" s="15">
        <f>SUM(D11:D12)</f>
        <v>190</v>
      </c>
      <c r="E14" s="13">
        <f t="shared" ref="E14:N14" si="8">SUM(E11:E12)</f>
        <v>195.04999999999995</v>
      </c>
      <c r="F14" s="13">
        <f t="shared" si="8"/>
        <v>199.72912499999995</v>
      </c>
      <c r="G14" s="13">
        <f t="shared" si="8"/>
        <v>204.00289875000004</v>
      </c>
      <c r="H14" s="13">
        <f t="shared" si="8"/>
        <v>207.83904021562506</v>
      </c>
      <c r="I14" s="13">
        <f t="shared" si="8"/>
        <v>211.20785982351561</v>
      </c>
      <c r="J14" s="13">
        <f t="shared" si="8"/>
        <v>214.08263347111355</v>
      </c>
      <c r="K14" s="13">
        <f t="shared" si="8"/>
        <v>216.43994786214381</v>
      </c>
      <c r="L14" s="13">
        <f t="shared" si="8"/>
        <v>218.26001106007544</v>
      </c>
      <c r="M14" s="13">
        <f t="shared" si="8"/>
        <v>219.52692261852758</v>
      </c>
      <c r="N14" s="13">
        <f t="shared" si="8"/>
        <v>220.22889824317974</v>
      </c>
    </row>
    <row r="15" spans="2:14" x14ac:dyDescent="0.2">
      <c r="B15" t="s">
        <v>37</v>
      </c>
      <c r="D15" s="23">
        <v>-30.25</v>
      </c>
      <c r="E15" s="12">
        <f>E16*E41*-1</f>
        <v>-30.693078374999992</v>
      </c>
      <c r="F15" s="12">
        <f t="shared" ref="F15:N15" si="9">F16*F41*-1</f>
        <v>-31.061873519999992</v>
      </c>
      <c r="G15" s="12">
        <f t="shared" si="9"/>
        <v>-31.353283118685944</v>
      </c>
      <c r="H15" s="12">
        <f t="shared" si="9"/>
        <v>-31.56476627155163</v>
      </c>
      <c r="I15" s="12">
        <f t="shared" si="9"/>
        <v>-31.694379464766314</v>
      </c>
      <c r="J15" s="12">
        <f t="shared" si="9"/>
        <v>-31.740805299109528</v>
      </c>
      <c r="K15" s="12">
        <f t="shared" si="9"/>
        <v>-31.703373401663885</v>
      </c>
      <c r="L15" s="12">
        <f t="shared" si="9"/>
        <v>-31.582073076247354</v>
      </c>
      <c r="M15" s="12">
        <f t="shared" si="9"/>
        <v>-31.377557393559051</v>
      </c>
      <c r="N15" s="12">
        <f t="shared" si="9"/>
        <v>-31.091138575507728</v>
      </c>
    </row>
    <row r="16" spans="2:14" x14ac:dyDescent="0.2">
      <c r="B16" s="4" t="s">
        <v>38</v>
      </c>
      <c r="D16" s="60">
        <f>D15/D41*-1</f>
        <v>5.5E-2</v>
      </c>
      <c r="E16" s="47">
        <f>D16-(D16-$N16)/($N$2-D$2)</f>
        <v>5.45E-2</v>
      </c>
      <c r="F16" s="48">
        <f t="shared" ref="F16" si="10">E16-(E16-$N16)/($N$2-E$2)</f>
        <v>5.3999999999999999E-2</v>
      </c>
      <c r="G16" s="48">
        <f t="shared" ref="G16" si="11">F16-(F16-$N16)/($N$2-F$2)</f>
        <v>5.3499999999999999E-2</v>
      </c>
      <c r="H16" s="48">
        <f t="shared" ref="H16" si="12">G16-(G16-$N16)/($N$2-G$2)</f>
        <v>5.2999999999999999E-2</v>
      </c>
      <c r="I16" s="48">
        <f t="shared" ref="I16" si="13">H16-(H16-$N16)/($N$2-H$2)</f>
        <v>5.2499999999999998E-2</v>
      </c>
      <c r="J16" s="48">
        <f t="shared" ref="J16" si="14">I16-(I16-$N16)/($N$2-I$2)</f>
        <v>5.1999999999999998E-2</v>
      </c>
      <c r="K16" s="48">
        <f t="shared" ref="K16" si="15">J16-(J16-$N16)/($N$2-J$2)</f>
        <v>5.1499999999999997E-2</v>
      </c>
      <c r="L16" s="48">
        <f t="shared" ref="L16" si="16">K16-(K16-$N16)/($N$2-K$2)</f>
        <v>5.0999999999999997E-2</v>
      </c>
      <c r="M16" s="49">
        <f t="shared" ref="M16" si="17">L16-(L16-$N16)/($N$2-L$2)</f>
        <v>5.0500000000000003E-2</v>
      </c>
      <c r="N16" s="32">
        <v>0.05</v>
      </c>
    </row>
    <row r="17" spans="2:14" x14ac:dyDescent="0.2">
      <c r="B17" s="5" t="s">
        <v>3</v>
      </c>
      <c r="C17" s="5"/>
      <c r="D17" s="13">
        <f>SUM(D14:D15)</f>
        <v>159.75</v>
      </c>
      <c r="E17" s="13">
        <f t="shared" ref="E17:N17" si="18">SUM(E14:E15)</f>
        <v>164.35692162499996</v>
      </c>
      <c r="F17" s="13">
        <f t="shared" si="18"/>
        <v>168.66725147999995</v>
      </c>
      <c r="G17" s="13">
        <f t="shared" si="18"/>
        <v>172.64961563131411</v>
      </c>
      <c r="H17" s="13">
        <f t="shared" si="18"/>
        <v>176.27427394407343</v>
      </c>
      <c r="I17" s="13">
        <f t="shared" si="18"/>
        <v>179.51348035874929</v>
      </c>
      <c r="J17" s="13">
        <f t="shared" si="18"/>
        <v>182.34182817200403</v>
      </c>
      <c r="K17" s="13">
        <f t="shared" si="18"/>
        <v>184.73657446047991</v>
      </c>
      <c r="L17" s="13">
        <f t="shared" si="18"/>
        <v>186.67793798382809</v>
      </c>
      <c r="M17" s="13">
        <f t="shared" si="18"/>
        <v>188.14936522496853</v>
      </c>
      <c r="N17" s="13">
        <f t="shared" si="18"/>
        <v>189.13775966767201</v>
      </c>
    </row>
    <row r="18" spans="2:14" x14ac:dyDescent="0.2">
      <c r="B18" t="s">
        <v>50</v>
      </c>
      <c r="D18" s="27">
        <v>-46.4</v>
      </c>
      <c r="E18" s="12">
        <f>E17*E19*-1</f>
        <v>-47.894995893257025</v>
      </c>
      <c r="F18" s="12">
        <f t="shared" ref="F18:N18" si="19">F17*F19*-1</f>
        <v>-49.312074994512656</v>
      </c>
      <c r="G18" s="12">
        <f t="shared" si="19"/>
        <v>-50.641185379933013</v>
      </c>
      <c r="H18" s="12">
        <f t="shared" si="19"/>
        <v>-51.872636107110424</v>
      </c>
      <c r="I18" s="12">
        <f t="shared" si="19"/>
        <v>-52.997211376647968</v>
      </c>
      <c r="J18" s="12">
        <f t="shared" si="19"/>
        <v>-54.006282315858336</v>
      </c>
      <c r="K18" s="12">
        <f t="shared" si="19"/>
        <v>-54.891914542740707</v>
      </c>
      <c r="L18" s="12">
        <f t="shared" si="19"/>
        <v>-55.646969682565839</v>
      </c>
      <c r="M18" s="12">
        <f t="shared" si="19"/>
        <v>-56.265199062346227</v>
      </c>
      <c r="N18" s="12">
        <f t="shared" si="19"/>
        <v>-56.741327900301606</v>
      </c>
    </row>
    <row r="19" spans="2:14" x14ac:dyDescent="0.2">
      <c r="B19" s="4" t="s">
        <v>39</v>
      </c>
      <c r="C19" s="4"/>
      <c r="D19" s="59">
        <f>D18/D17*-1</f>
        <v>0.29045383411580594</v>
      </c>
      <c r="E19" s="50">
        <f>D19-(D19-$N19)/($N$2-D$2)</f>
        <v>0.29140845070422533</v>
      </c>
      <c r="F19" s="51">
        <f t="shared" ref="F19:M19" si="20">E19-(E19-$N19)/($N$2-E$2)</f>
        <v>0.29236306729264472</v>
      </c>
      <c r="G19" s="51">
        <f t="shared" si="20"/>
        <v>0.29331768388106411</v>
      </c>
      <c r="H19" s="51">
        <f t="shared" si="20"/>
        <v>0.29427230046948349</v>
      </c>
      <c r="I19" s="51">
        <f t="shared" si="20"/>
        <v>0.29522691705790294</v>
      </c>
      <c r="J19" s="51">
        <f t="shared" si="20"/>
        <v>0.29618153364632233</v>
      </c>
      <c r="K19" s="51">
        <f t="shared" si="20"/>
        <v>0.29713615023474171</v>
      </c>
      <c r="L19" s="51">
        <f t="shared" si="20"/>
        <v>0.29809076682316116</v>
      </c>
      <c r="M19" s="52">
        <f t="shared" si="20"/>
        <v>0.2990453834115806</v>
      </c>
      <c r="N19" s="21">
        <v>0.3</v>
      </c>
    </row>
    <row r="20" spans="2:14" x14ac:dyDescent="0.2">
      <c r="B20" s="5" t="s">
        <v>40</v>
      </c>
      <c r="C20" s="5"/>
      <c r="D20" s="15">
        <f>SUM(D14:D18)</f>
        <v>273.15500000000003</v>
      </c>
      <c r="E20" s="13">
        <f t="shared" ref="E20:N20" si="21">SUM(E14:E18)</f>
        <v>280.8733473567429</v>
      </c>
      <c r="F20" s="13">
        <f t="shared" si="21"/>
        <v>288.0764279654872</v>
      </c>
      <c r="G20" s="13">
        <f t="shared" si="21"/>
        <v>294.71154588269525</v>
      </c>
      <c r="H20" s="13">
        <f t="shared" si="21"/>
        <v>300.72891178103646</v>
      </c>
      <c r="I20" s="13">
        <f t="shared" si="21"/>
        <v>306.08224934085064</v>
      </c>
      <c r="J20" s="13">
        <f t="shared" si="21"/>
        <v>310.72937402814966</v>
      </c>
      <c r="K20" s="13">
        <f t="shared" si="21"/>
        <v>314.63273437821914</v>
      </c>
      <c r="L20" s="13">
        <f t="shared" si="21"/>
        <v>317.75990628509032</v>
      </c>
      <c r="M20" s="13">
        <f t="shared" si="21"/>
        <v>320.08403138759081</v>
      </c>
      <c r="N20" s="13">
        <f t="shared" si="21"/>
        <v>321.58419143504244</v>
      </c>
    </row>
    <row r="21" spans="2:14" x14ac:dyDescent="0.2">
      <c r="N21" s="7"/>
    </row>
    <row r="22" spans="2:14" x14ac:dyDescent="0.2">
      <c r="B22" t="s">
        <v>64</v>
      </c>
      <c r="D22" s="14">
        <f t="shared" ref="D22:N22" si="22">C23-D23</f>
        <v>-13.863013698630141</v>
      </c>
      <c r="E22" s="12">
        <f t="shared" si="22"/>
        <v>-13.555582191780786</v>
      </c>
      <c r="F22" s="12">
        <f t="shared" si="22"/>
        <v>-13.329004109589221</v>
      </c>
      <c r="G22" s="12">
        <f t="shared" si="22"/>
        <v>-13.025029365154012</v>
      </c>
      <c r="H22" s="12">
        <f t="shared" si="22"/>
        <v>-12.642590601986342</v>
      </c>
      <c r="I22" s="12">
        <f t="shared" si="22"/>
        <v>-12.181368555464815</v>
      </c>
      <c r="J22" s="12">
        <f t="shared" si="22"/>
        <v>-11.641828669176221</v>
      </c>
      <c r="K22" s="12">
        <f t="shared" si="22"/>
        <v>-11.025247386012836</v>
      </c>
      <c r="L22" s="12">
        <f t="shared" si="22"/>
        <v>-10.333727199393252</v>
      </c>
      <c r="M22" s="12">
        <f t="shared" si="22"/>
        <v>-9.5701997378325245</v>
      </c>
      <c r="N22" s="12">
        <f t="shared" si="22"/>
        <v>-8.7384163686476199</v>
      </c>
    </row>
    <row r="23" spans="2:14" x14ac:dyDescent="0.2">
      <c r="B23" s="4" t="s">
        <v>5</v>
      </c>
      <c r="C23" s="27">
        <v>296</v>
      </c>
      <c r="D23" s="27">
        <v>309.86301369863014</v>
      </c>
      <c r="E23" s="14">
        <f t="shared" ref="E23:N23" si="23">E24/365*E9*-1</f>
        <v>323.41859589041093</v>
      </c>
      <c r="F23" s="14">
        <f t="shared" si="23"/>
        <v>336.74760000000015</v>
      </c>
      <c r="G23" s="14">
        <f t="shared" si="23"/>
        <v>349.77262936515416</v>
      </c>
      <c r="H23" s="14">
        <f t="shared" si="23"/>
        <v>362.4152199671405</v>
      </c>
      <c r="I23" s="14">
        <f t="shared" si="23"/>
        <v>374.59658852260532</v>
      </c>
      <c r="J23" s="14">
        <f t="shared" si="23"/>
        <v>386.23841719178154</v>
      </c>
      <c r="K23" s="14">
        <f t="shared" si="23"/>
        <v>397.26366457779437</v>
      </c>
      <c r="L23" s="14">
        <f t="shared" si="23"/>
        <v>407.59739177718762</v>
      </c>
      <c r="M23" s="14">
        <f t="shared" si="23"/>
        <v>417.16759151502015</v>
      </c>
      <c r="N23" s="14">
        <f t="shared" si="23"/>
        <v>425.90600788366777</v>
      </c>
    </row>
    <row r="24" spans="2:14" x14ac:dyDescent="0.2">
      <c r="B24" s="4" t="s">
        <v>19</v>
      </c>
      <c r="C24" s="4"/>
      <c r="D24" s="61">
        <f>D23/D9*365*-1</f>
        <v>145</v>
      </c>
      <c r="E24" s="53">
        <f>D24-(D24-$N24)/($N$2-D$2)</f>
        <v>145.5</v>
      </c>
      <c r="F24" s="54">
        <f t="shared" ref="F24:M24" si="24">E24-(E24-$N24)/($N$2-E$2)</f>
        <v>146</v>
      </c>
      <c r="G24" s="54">
        <f t="shared" si="24"/>
        <v>146.5</v>
      </c>
      <c r="H24" s="54">
        <f t="shared" si="24"/>
        <v>147</v>
      </c>
      <c r="I24" s="54">
        <f t="shared" si="24"/>
        <v>147.5</v>
      </c>
      <c r="J24" s="54">
        <f t="shared" si="24"/>
        <v>148</v>
      </c>
      <c r="K24" s="54">
        <f t="shared" si="24"/>
        <v>148.5</v>
      </c>
      <c r="L24" s="54">
        <f t="shared" si="24"/>
        <v>149</v>
      </c>
      <c r="M24" s="55">
        <f t="shared" si="24"/>
        <v>149.5</v>
      </c>
      <c r="N24" s="33">
        <v>150</v>
      </c>
    </row>
    <row r="25" spans="2:14" x14ac:dyDescent="0.2">
      <c r="B25" t="s">
        <v>65</v>
      </c>
      <c r="D25" s="14">
        <f t="shared" ref="D25:N25" si="25">C26-D26</f>
        <v>-10.376712328767098</v>
      </c>
      <c r="E25" s="12">
        <f t="shared" si="25"/>
        <v>-10.154109589041127</v>
      </c>
      <c r="F25" s="12">
        <f t="shared" si="25"/>
        <v>-9.9770547945205976</v>
      </c>
      <c r="G25" s="12">
        <f t="shared" si="25"/>
        <v>-9.7415387414383758</v>
      </c>
      <c r="H25" s="12">
        <f t="shared" si="25"/>
        <v>-9.4468286943492785</v>
      </c>
      <c r="I25" s="12">
        <f t="shared" si="25"/>
        <v>-9.0927624661547952</v>
      </c>
      <c r="J25" s="12">
        <f t="shared" si="25"/>
        <v>-8.6797750612403775</v>
      </c>
      <c r="K25" s="12">
        <f t="shared" si="25"/>
        <v>-8.2089173562399651</v>
      </c>
      <c r="L25" s="12">
        <f t="shared" si="25"/>
        <v>-7.6818661445468024</v>
      </c>
      <c r="M25" s="12">
        <f t="shared" si="25"/>
        <v>-7.1009250173655118</v>
      </c>
      <c r="N25" s="12">
        <f t="shared" si="25"/>
        <v>-6.4690157190868831</v>
      </c>
    </row>
    <row r="26" spans="2:14" x14ac:dyDescent="0.2">
      <c r="B26" s="4" t="s">
        <v>33</v>
      </c>
      <c r="C26" s="27">
        <v>222.5</v>
      </c>
      <c r="D26" s="27">
        <v>232.8767123287671</v>
      </c>
      <c r="E26" s="14">
        <f t="shared" ref="E26:N26" si="26">E27/365*E7</f>
        <v>243.03082191780823</v>
      </c>
      <c r="F26" s="14">
        <f t="shared" si="26"/>
        <v>253.00787671232882</v>
      </c>
      <c r="G26" s="14">
        <f t="shared" si="26"/>
        <v>262.7494154537672</v>
      </c>
      <c r="H26" s="14">
        <f t="shared" si="26"/>
        <v>272.19624414811648</v>
      </c>
      <c r="I26" s="14">
        <f t="shared" si="26"/>
        <v>281.28900661427127</v>
      </c>
      <c r="J26" s="14">
        <f t="shared" si="26"/>
        <v>289.96878167551165</v>
      </c>
      <c r="K26" s="14">
        <f t="shared" si="26"/>
        <v>298.17769903175162</v>
      </c>
      <c r="L26" s="14">
        <f t="shared" si="26"/>
        <v>305.85956517629842</v>
      </c>
      <c r="M26" s="14">
        <f t="shared" si="26"/>
        <v>312.96049019366393</v>
      </c>
      <c r="N26" s="14">
        <f t="shared" si="26"/>
        <v>319.42950591275081</v>
      </c>
    </row>
    <row r="27" spans="2:14" x14ac:dyDescent="0.2">
      <c r="B27" s="4" t="s">
        <v>20</v>
      </c>
      <c r="C27" s="4"/>
      <c r="D27" s="61">
        <f>D26/D7*365</f>
        <v>85</v>
      </c>
      <c r="E27" s="53">
        <f>D27-(D27-$N27)/($N$2-D$2)</f>
        <v>85.5</v>
      </c>
      <c r="F27" s="54">
        <f t="shared" ref="F27:M27" si="27">E27-(E27-$N27)/($N$2-E$2)</f>
        <v>86</v>
      </c>
      <c r="G27" s="54">
        <f t="shared" si="27"/>
        <v>86.5</v>
      </c>
      <c r="H27" s="54">
        <f t="shared" si="27"/>
        <v>87</v>
      </c>
      <c r="I27" s="54">
        <f t="shared" si="27"/>
        <v>87.5</v>
      </c>
      <c r="J27" s="54">
        <f t="shared" si="27"/>
        <v>88</v>
      </c>
      <c r="K27" s="54">
        <f t="shared" si="27"/>
        <v>88.5</v>
      </c>
      <c r="L27" s="54">
        <f t="shared" si="27"/>
        <v>89</v>
      </c>
      <c r="M27" s="55">
        <f t="shared" si="27"/>
        <v>89.5</v>
      </c>
      <c r="N27" s="33">
        <v>90</v>
      </c>
    </row>
    <row r="28" spans="2:14" x14ac:dyDescent="0.2">
      <c r="B28" t="s">
        <v>66</v>
      </c>
      <c r="D28" s="14">
        <f t="shared" ref="D28:N28" si="28">D29-C29</f>
        <v>8.5684931506849296</v>
      </c>
      <c r="E28" s="12">
        <f t="shared" si="28"/>
        <v>8.3290068493150784</v>
      </c>
      <c r="F28" s="12">
        <f t="shared" si="28"/>
        <v>8.0099547945206098</v>
      </c>
      <c r="G28" s="12">
        <f t="shared" si="28"/>
        <v>7.639168318921179</v>
      </c>
      <c r="H28" s="12">
        <f t="shared" si="28"/>
        <v>7.2176201277226824</v>
      </c>
      <c r="I28" s="12">
        <f t="shared" si="28"/>
        <v>6.7468297498868992</v>
      </c>
      <c r="J28" s="12">
        <f t="shared" si="28"/>
        <v>6.2288637624663465</v>
      </c>
      <c r="K28" s="12">
        <f t="shared" si="28"/>
        <v>5.6663277416681694</v>
      </c>
      <c r="L28" s="12">
        <f t="shared" si="28"/>
        <v>5.0623497892563023</v>
      </c>
      <c r="M28" s="12">
        <f t="shared" si="28"/>
        <v>4.4205556475619687</v>
      </c>
      <c r="N28" s="12">
        <f t="shared" si="28"/>
        <v>3.7450355865632901</v>
      </c>
    </row>
    <row r="29" spans="2:14" x14ac:dyDescent="0.2">
      <c r="B29" s="4" t="s">
        <v>34</v>
      </c>
      <c r="C29" s="27">
        <v>226.5</v>
      </c>
      <c r="D29" s="27">
        <v>235.06849315068493</v>
      </c>
      <c r="E29" s="14">
        <f t="shared" ref="E29:N29" si="29">E30/365*E9*-1</f>
        <v>243.39750000000001</v>
      </c>
      <c r="F29" s="14">
        <f t="shared" si="29"/>
        <v>251.40745479452062</v>
      </c>
      <c r="G29" s="14">
        <f t="shared" si="29"/>
        <v>259.0466231134418</v>
      </c>
      <c r="H29" s="14">
        <f t="shared" si="29"/>
        <v>266.26424324116448</v>
      </c>
      <c r="I29" s="14">
        <f t="shared" si="29"/>
        <v>273.01107299105138</v>
      </c>
      <c r="J29" s="14">
        <f t="shared" si="29"/>
        <v>279.23993675351772</v>
      </c>
      <c r="K29" s="14">
        <f t="shared" si="29"/>
        <v>284.90626449518589</v>
      </c>
      <c r="L29" s="14">
        <f t="shared" si="29"/>
        <v>289.9686142844422</v>
      </c>
      <c r="M29" s="14">
        <f t="shared" si="29"/>
        <v>294.38916993200417</v>
      </c>
      <c r="N29" s="14">
        <f t="shared" si="29"/>
        <v>298.13420551856746</v>
      </c>
    </row>
    <row r="30" spans="2:14" x14ac:dyDescent="0.2">
      <c r="B30" s="4" t="s">
        <v>21</v>
      </c>
      <c r="C30" s="4"/>
      <c r="D30" s="61">
        <f>D29/D9*365*-1</f>
        <v>110</v>
      </c>
      <c r="E30" s="53">
        <f>D30-(D30-$N30)/($N$2-D$2)</f>
        <v>109.5</v>
      </c>
      <c r="F30" s="54">
        <f t="shared" ref="F30:M30" si="30">E30-(E30-$N30)/($N$2-E$2)</f>
        <v>109</v>
      </c>
      <c r="G30" s="54">
        <f t="shared" si="30"/>
        <v>108.5</v>
      </c>
      <c r="H30" s="54">
        <f t="shared" si="30"/>
        <v>108</v>
      </c>
      <c r="I30" s="54">
        <f t="shared" si="30"/>
        <v>107.5</v>
      </c>
      <c r="J30" s="54">
        <f t="shared" si="30"/>
        <v>107</v>
      </c>
      <c r="K30" s="54">
        <f t="shared" si="30"/>
        <v>106.5</v>
      </c>
      <c r="L30" s="54">
        <f t="shared" si="30"/>
        <v>106</v>
      </c>
      <c r="M30" s="55">
        <f t="shared" si="30"/>
        <v>105.5</v>
      </c>
      <c r="N30" s="33">
        <v>105</v>
      </c>
    </row>
    <row r="31" spans="2:14" x14ac:dyDescent="0.2">
      <c r="B31" s="5" t="s">
        <v>18</v>
      </c>
      <c r="C31" s="5"/>
      <c r="D31" s="15">
        <f>D22+D25+D28</f>
        <v>-15.67123287671231</v>
      </c>
      <c r="E31" s="13">
        <f>E22+E25+E28</f>
        <v>-15.380684931506835</v>
      </c>
      <c r="F31" s="13">
        <f t="shared" ref="F31:N31" si="31">F22+F25+F28</f>
        <v>-15.296104109589209</v>
      </c>
      <c r="G31" s="13">
        <f t="shared" si="31"/>
        <v>-15.127399787671209</v>
      </c>
      <c r="H31" s="13">
        <f t="shared" si="31"/>
        <v>-14.871799168612938</v>
      </c>
      <c r="I31" s="13">
        <f t="shared" si="31"/>
        <v>-14.527301271732711</v>
      </c>
      <c r="J31" s="13">
        <f t="shared" si="31"/>
        <v>-14.092739967950251</v>
      </c>
      <c r="K31" s="13">
        <f t="shared" si="31"/>
        <v>-13.567837000584632</v>
      </c>
      <c r="L31" s="13">
        <f t="shared" si="31"/>
        <v>-12.953243554683752</v>
      </c>
      <c r="M31" s="13">
        <f t="shared" si="31"/>
        <v>-12.250569107636068</v>
      </c>
      <c r="N31" s="13">
        <f t="shared" si="31"/>
        <v>-11.462396501171213</v>
      </c>
    </row>
    <row r="32" spans="2:14" x14ac:dyDescent="0.2"/>
    <row r="33" spans="2:14" x14ac:dyDescent="0.2">
      <c r="B33" t="s">
        <v>6</v>
      </c>
      <c r="D33" s="27">
        <v>-60</v>
      </c>
      <c r="E33" s="12">
        <f>E12*E34</f>
        <v>-59.448749999999997</v>
      </c>
      <c r="F33" s="12">
        <f t="shared" ref="F33:N33" si="32">F12*F34</f>
        <v>-58.630162500000004</v>
      </c>
      <c r="G33" s="12">
        <f t="shared" si="32"/>
        <v>-57.542121984375008</v>
      </c>
      <c r="H33" s="12">
        <f t="shared" si="32"/>
        <v>-56.185059223125009</v>
      </c>
      <c r="I33" s="12">
        <f t="shared" si="32"/>
        <v>-54.562030454408209</v>
      </c>
      <c r="J33" s="12">
        <f t="shared" si="32"/>
        <v>-52.67876037098187</v>
      </c>
      <c r="K33" s="12">
        <f t="shared" si="32"/>
        <v>-50.543646915534708</v>
      </c>
      <c r="L33" s="12">
        <f t="shared" si="32"/>
        <v>-48.167726578775266</v>
      </c>
      <c r="M33" s="12">
        <f t="shared" si="32"/>
        <v>-45.564599636519972</v>
      </c>
      <c r="N33" s="12">
        <f t="shared" si="32"/>
        <v>-42.750315541323154</v>
      </c>
    </row>
    <row r="34" spans="2:14" x14ac:dyDescent="0.2">
      <c r="B34" s="4" t="s">
        <v>22</v>
      </c>
      <c r="C34" s="4"/>
      <c r="D34" s="62">
        <f>D33/D35*-1</f>
        <v>2</v>
      </c>
      <c r="E34" s="56">
        <f>D34-(D34-$N34)/($N$2-D$2)</f>
        <v>1.91</v>
      </c>
      <c r="F34" s="57">
        <f t="shared" ref="F34:M34" si="33">E34-(E34-$N34)/($N$2-E$2)</f>
        <v>1.8199999999999998</v>
      </c>
      <c r="G34" s="57">
        <f t="shared" si="33"/>
        <v>1.73</v>
      </c>
      <c r="H34" s="57">
        <f t="shared" si="33"/>
        <v>1.64</v>
      </c>
      <c r="I34" s="57">
        <f t="shared" si="33"/>
        <v>1.5499999999999998</v>
      </c>
      <c r="J34" s="57">
        <f t="shared" si="33"/>
        <v>1.46</v>
      </c>
      <c r="K34" s="57">
        <f t="shared" si="33"/>
        <v>1.37</v>
      </c>
      <c r="L34" s="57">
        <f t="shared" si="33"/>
        <v>1.28</v>
      </c>
      <c r="M34" s="58">
        <f t="shared" si="33"/>
        <v>1.19</v>
      </c>
      <c r="N34" s="22">
        <v>1.1000000000000001</v>
      </c>
    </row>
    <row r="35" spans="2:14" x14ac:dyDescent="0.2">
      <c r="B35" t="str">
        <f>B12</f>
        <v xml:space="preserve">Depreciation and amortisation expenses </v>
      </c>
      <c r="D35" s="14">
        <f>D12*-1</f>
        <v>30</v>
      </c>
      <c r="E35" s="12">
        <f t="shared" ref="E35:N35" si="34">E12*-1</f>
        <v>31.125</v>
      </c>
      <c r="F35" s="12">
        <f t="shared" si="34"/>
        <v>32.214375000000004</v>
      </c>
      <c r="G35" s="12">
        <f t="shared" si="34"/>
        <v>33.261342187500006</v>
      </c>
      <c r="H35" s="12">
        <f t="shared" si="34"/>
        <v>34.259182453125007</v>
      </c>
      <c r="I35" s="12">
        <f t="shared" si="34"/>
        <v>35.201309970585946</v>
      </c>
      <c r="J35" s="12">
        <f t="shared" si="34"/>
        <v>36.081342719850596</v>
      </c>
      <c r="K35" s="12">
        <f t="shared" si="34"/>
        <v>36.893172931047232</v>
      </c>
      <c r="L35" s="12">
        <f t="shared" si="34"/>
        <v>37.631036389668175</v>
      </c>
      <c r="M35" s="12">
        <f t="shared" si="34"/>
        <v>38.289579526487373</v>
      </c>
      <c r="N35" s="12">
        <f t="shared" si="34"/>
        <v>38.863923219384681</v>
      </c>
    </row>
    <row r="36" spans="2:14" x14ac:dyDescent="0.2">
      <c r="B36" s="5" t="s">
        <v>23</v>
      </c>
      <c r="C36" s="5"/>
      <c r="D36" s="15">
        <f>D33+D35</f>
        <v>-30</v>
      </c>
      <c r="E36" s="13">
        <f t="shared" ref="E36:N36" si="35">E33+E35</f>
        <v>-28.323749999999997</v>
      </c>
      <c r="F36" s="13">
        <f t="shared" si="35"/>
        <v>-26.4157875</v>
      </c>
      <c r="G36" s="13">
        <f t="shared" si="35"/>
        <v>-24.280779796875002</v>
      </c>
      <c r="H36" s="13">
        <f t="shared" si="35"/>
        <v>-21.925876770000002</v>
      </c>
      <c r="I36" s="13">
        <f t="shared" si="35"/>
        <v>-19.360720483822263</v>
      </c>
      <c r="J36" s="13">
        <f t="shared" si="35"/>
        <v>-16.597417651131273</v>
      </c>
      <c r="K36" s="13">
        <f t="shared" si="35"/>
        <v>-13.650473984487476</v>
      </c>
      <c r="L36" s="13">
        <f t="shared" si="35"/>
        <v>-10.536690189107091</v>
      </c>
      <c r="M36" s="13">
        <f t="shared" si="35"/>
        <v>-7.2750201100325995</v>
      </c>
      <c r="N36" s="13">
        <f t="shared" si="35"/>
        <v>-3.8863923219384731</v>
      </c>
    </row>
    <row r="37" spans="2:14" x14ac:dyDescent="0.2"/>
    <row r="38" spans="2:14" x14ac:dyDescent="0.2">
      <c r="B38" s="5" t="s">
        <v>41</v>
      </c>
      <c r="C38" s="5"/>
      <c r="D38" s="15">
        <f>D31+D36</f>
        <v>-45.67123287671231</v>
      </c>
      <c r="E38" s="13">
        <f t="shared" ref="E38:N38" si="36">E31+E36</f>
        <v>-43.704434931506832</v>
      </c>
      <c r="F38" s="13">
        <f t="shared" si="36"/>
        <v>-41.711891609589209</v>
      </c>
      <c r="G38" s="13">
        <f t="shared" si="36"/>
        <v>-39.408179584546211</v>
      </c>
      <c r="H38" s="13">
        <f t="shared" si="36"/>
        <v>-36.79767593861294</v>
      </c>
      <c r="I38" s="13">
        <f t="shared" si="36"/>
        <v>-33.888021755554973</v>
      </c>
      <c r="J38" s="13">
        <f t="shared" si="36"/>
        <v>-30.690157619081525</v>
      </c>
      <c r="K38" s="13">
        <f t="shared" si="36"/>
        <v>-27.218310985072108</v>
      </c>
      <c r="L38" s="13">
        <f t="shared" si="36"/>
        <v>-23.489933743790843</v>
      </c>
      <c r="M38" s="13">
        <f t="shared" si="36"/>
        <v>-19.525589217668667</v>
      </c>
      <c r="N38" s="13">
        <f t="shared" si="36"/>
        <v>-15.348788823109686</v>
      </c>
    </row>
    <row r="39" spans="2:14" x14ac:dyDescent="0.2"/>
    <row r="40" spans="2:14" x14ac:dyDescent="0.2">
      <c r="B40" t="s">
        <v>67</v>
      </c>
      <c r="D40" s="14">
        <f>D41-C41</f>
        <v>11</v>
      </c>
      <c r="E40" s="12">
        <f t="shared" ref="E40:N40" si="37">E41-D41</f>
        <v>13.17574999999988</v>
      </c>
      <c r="F40" s="12">
        <f t="shared" si="37"/>
        <v>12.044129999999996</v>
      </c>
      <c r="G40" s="12">
        <f t="shared" si="37"/>
        <v>10.82279511562524</v>
      </c>
      <c r="H40" s="12">
        <f t="shared" si="37"/>
        <v>9.5189526494999654</v>
      </c>
      <c r="I40" s="12">
        <f t="shared" si="37"/>
        <v>8.1408382304238103</v>
      </c>
      <c r="J40" s="12">
        <f t="shared" si="37"/>
        <v>6.6976359104036192</v>
      </c>
      <c r="K40" s="12">
        <f t="shared" si="37"/>
        <v>5.1993816215016295</v>
      </c>
      <c r="L40" s="12">
        <f t="shared" si="37"/>
        <v>3.656851300925382</v>
      </c>
      <c r="M40" s="12">
        <f t="shared" si="37"/>
        <v>2.0814353411066122</v>
      </c>
      <c r="N40" s="12">
        <f t="shared" si="37"/>
        <v>0.48500134066841838</v>
      </c>
    </row>
    <row r="41" spans="2:14" x14ac:dyDescent="0.2">
      <c r="B41" s="4" t="s">
        <v>7</v>
      </c>
      <c r="C41" s="27">
        <v>539</v>
      </c>
      <c r="D41" s="27">
        <v>550</v>
      </c>
      <c r="E41" s="12">
        <f t="shared" ref="E41:N41" si="38">E11*E42</f>
        <v>563.17574999999988</v>
      </c>
      <c r="F41" s="12">
        <f t="shared" si="38"/>
        <v>575.21987999999988</v>
      </c>
      <c r="G41" s="12">
        <f t="shared" si="38"/>
        <v>586.04267511562512</v>
      </c>
      <c r="H41" s="12">
        <f t="shared" si="38"/>
        <v>595.56162776512508</v>
      </c>
      <c r="I41" s="12">
        <f t="shared" si="38"/>
        <v>603.70246599554889</v>
      </c>
      <c r="J41" s="12">
        <f t="shared" si="38"/>
        <v>610.40010190595251</v>
      </c>
      <c r="K41" s="12">
        <f t="shared" si="38"/>
        <v>615.59948352745414</v>
      </c>
      <c r="L41" s="12">
        <f t="shared" si="38"/>
        <v>619.25633482837952</v>
      </c>
      <c r="M41" s="12">
        <f t="shared" si="38"/>
        <v>621.33777016948613</v>
      </c>
      <c r="N41" s="12">
        <f t="shared" si="38"/>
        <v>621.82277151015455</v>
      </c>
    </row>
    <row r="42" spans="2:14" x14ac:dyDescent="0.2">
      <c r="B42" s="4" t="s">
        <v>46</v>
      </c>
      <c r="D42" s="62">
        <f>D41/D11</f>
        <v>2.5</v>
      </c>
      <c r="E42" s="56">
        <f t="shared" ref="E42:M42" si="39">D42-(D42-$N42)/($N$2-D$2)</f>
        <v>2.4900000000000002</v>
      </c>
      <c r="F42" s="57">
        <f t="shared" si="39"/>
        <v>2.48</v>
      </c>
      <c r="G42" s="57">
        <f t="shared" si="39"/>
        <v>2.4699999999999998</v>
      </c>
      <c r="H42" s="57">
        <f t="shared" si="39"/>
        <v>2.46</v>
      </c>
      <c r="I42" s="57">
        <f t="shared" si="39"/>
        <v>2.4500000000000002</v>
      </c>
      <c r="J42" s="57">
        <f t="shared" si="39"/>
        <v>2.44</v>
      </c>
      <c r="K42" s="57">
        <f t="shared" si="39"/>
        <v>2.4299999999999997</v>
      </c>
      <c r="L42" s="57">
        <f t="shared" si="39"/>
        <v>2.42</v>
      </c>
      <c r="M42" s="58">
        <f t="shared" si="39"/>
        <v>2.41</v>
      </c>
      <c r="N42" s="22">
        <v>2.4</v>
      </c>
    </row>
    <row r="43" spans="2:14" x14ac:dyDescent="0.2">
      <c r="B43" s="4"/>
    </row>
    <row r="44" spans="2:14" x14ac:dyDescent="0.2">
      <c r="B44" s="5" t="s">
        <v>42</v>
      </c>
      <c r="C44" s="5"/>
      <c r="D44" s="15">
        <f>D20+D38+D40</f>
        <v>238.48376712328772</v>
      </c>
      <c r="E44" s="13">
        <f t="shared" ref="E44:N44" si="40">E20+E38+E40</f>
        <v>250.34466242523595</v>
      </c>
      <c r="F44" s="13">
        <f t="shared" si="40"/>
        <v>258.40866635589799</v>
      </c>
      <c r="G44" s="13">
        <f t="shared" si="40"/>
        <v>266.1261614137743</v>
      </c>
      <c r="H44" s="13">
        <f t="shared" si="40"/>
        <v>273.45018849192348</v>
      </c>
      <c r="I44" s="13">
        <f t="shared" si="40"/>
        <v>280.33506581571947</v>
      </c>
      <c r="J44" s="13">
        <f t="shared" si="40"/>
        <v>286.73685231947178</v>
      </c>
      <c r="K44" s="13">
        <f t="shared" si="40"/>
        <v>292.61380501464868</v>
      </c>
      <c r="L44" s="13">
        <f t="shared" si="40"/>
        <v>297.92682384222485</v>
      </c>
      <c r="M44" s="13">
        <f t="shared" si="40"/>
        <v>302.63987751102877</v>
      </c>
      <c r="N44" s="13">
        <f t="shared" si="40"/>
        <v>306.72040395260115</v>
      </c>
    </row>
    <row r="45" spans="2:14" x14ac:dyDescent="0.2"/>
    <row r="46" spans="2:14" x14ac:dyDescent="0.2">
      <c r="B46" s="63" t="s">
        <v>78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</row>
    <row r="47" spans="2:14" x14ac:dyDescent="0.2"/>
    <row r="48" spans="2:14" x14ac:dyDescent="0.2">
      <c r="B48" s="8" t="str">
        <f>"Terminal value using a TGR of "&amp;TEXT(D70,"0.0%")</f>
        <v>Terminal value using a TGR of 1.5%</v>
      </c>
      <c r="C48" s="8"/>
      <c r="D48" s="3"/>
      <c r="E48" s="3"/>
      <c r="F48" s="3"/>
      <c r="G48" s="3"/>
      <c r="H48" s="3"/>
      <c r="I48" s="3"/>
      <c r="J48" s="3"/>
      <c r="K48" s="3"/>
      <c r="L48" s="3"/>
      <c r="M48" s="3"/>
      <c r="N48" s="20">
        <f>D74</f>
        <v>4826.685426540932</v>
      </c>
    </row>
    <row r="49" spans="2:14" x14ac:dyDescent="0.2"/>
    <row r="50" spans="2:14" x14ac:dyDescent="0.2">
      <c r="B50" s="8" t="str">
        <f>"Discount factors using a cost of equity of "&amp;TEXT(D65,"0.00%")</f>
        <v>Discount factors using a cost of equity of 7.95%</v>
      </c>
      <c r="C50" s="8"/>
      <c r="D50" s="3"/>
      <c r="E50" s="10">
        <f t="shared" ref="E50:N50" si="41">1/(1+$D$65)^E2</f>
        <v>0.92635479388605846</v>
      </c>
      <c r="F50" s="10">
        <f t="shared" si="41"/>
        <v>0.85813320415568184</v>
      </c>
      <c r="G50" s="10">
        <f t="shared" si="41"/>
        <v>0.79493580746241965</v>
      </c>
      <c r="H50" s="10">
        <f t="shared" si="41"/>
        <v>0.73639259607449725</v>
      </c>
      <c r="I50" s="10">
        <f t="shared" si="41"/>
        <v>0.68216081155581043</v>
      </c>
      <c r="J50" s="10">
        <f t="shared" si="41"/>
        <v>0.63192293798592913</v>
      </c>
      <c r="K50" s="10">
        <f t="shared" si="41"/>
        <v>0.58538484296982785</v>
      </c>
      <c r="L50" s="10">
        <f t="shared" si="41"/>
        <v>0.54227405555333752</v>
      </c>
      <c r="M50" s="10">
        <f t="shared" si="41"/>
        <v>0.50233817096186906</v>
      </c>
      <c r="N50" s="10">
        <f t="shared" si="41"/>
        <v>0.46534337282248173</v>
      </c>
    </row>
    <row r="51" spans="2:14" x14ac:dyDescent="0.2"/>
    <row r="52" spans="2:14" x14ac:dyDescent="0.2">
      <c r="B52" t="s">
        <v>24</v>
      </c>
      <c r="D52" s="12">
        <f>SUMPRODUCT(E44:N44,E50:N50)</f>
        <v>1866.6136775050531</v>
      </c>
      <c r="E52" s="31">
        <f>D52/$D$54</f>
        <v>0.45386798618141883</v>
      </c>
    </row>
    <row r="53" spans="2:14" x14ac:dyDescent="0.2">
      <c r="B53" t="s">
        <v>25</v>
      </c>
      <c r="D53" s="12">
        <f>N48*N50</f>
        <v>2246.066075939676</v>
      </c>
      <c r="E53" s="31">
        <f>D53/$D$54</f>
        <v>0.54613201381858123</v>
      </c>
    </row>
    <row r="54" spans="2:14" x14ac:dyDescent="0.2">
      <c r="B54" s="5" t="s">
        <v>12</v>
      </c>
      <c r="C54" s="5"/>
      <c r="D54" s="13">
        <f>SUM(D52:D53)</f>
        <v>4112.6797534447287</v>
      </c>
    </row>
    <row r="55" spans="2:14" x14ac:dyDescent="0.2"/>
    <row r="56" spans="2:14" x14ac:dyDescent="0.2">
      <c r="B56" t="s">
        <v>26</v>
      </c>
      <c r="D56" s="24">
        <v>82</v>
      </c>
    </row>
    <row r="57" spans="2:14" x14ac:dyDescent="0.2"/>
    <row r="58" spans="2:14" x14ac:dyDescent="0.2">
      <c r="B58" s="65" t="s">
        <v>49</v>
      </c>
      <c r="C58" s="65"/>
      <c r="D58" s="66">
        <f>D54/D56</f>
        <v>50.154631139569865</v>
      </c>
    </row>
    <row r="59" spans="2:14" x14ac:dyDescent="0.2"/>
    <row r="60" spans="2:14" x14ac:dyDescent="0.2">
      <c r="B60" s="63" t="s">
        <v>43</v>
      </c>
      <c r="C60" s="63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</row>
    <row r="61" spans="2:14" x14ac:dyDescent="0.2"/>
    <row r="62" spans="2:14" x14ac:dyDescent="0.2">
      <c r="B62" t="s">
        <v>11</v>
      </c>
      <c r="D62" s="25">
        <v>0.03</v>
      </c>
    </row>
    <row r="63" spans="2:14" x14ac:dyDescent="0.2">
      <c r="B63" t="s">
        <v>27</v>
      </c>
      <c r="D63" s="25">
        <v>5.5E-2</v>
      </c>
    </row>
    <row r="64" spans="2:14" x14ac:dyDescent="0.2">
      <c r="B64" t="s">
        <v>28</v>
      </c>
      <c r="D64" s="26">
        <v>0.9</v>
      </c>
    </row>
    <row r="65" spans="2:14" x14ac:dyDescent="0.2">
      <c r="B65" s="5" t="s">
        <v>29</v>
      </c>
      <c r="C65" s="5"/>
      <c r="D65" s="9">
        <f>D62+(D63*D64)</f>
        <v>7.9500000000000001E-2</v>
      </c>
    </row>
    <row r="66" spans="2:14" x14ac:dyDescent="0.2"/>
    <row r="67" spans="2:14" x14ac:dyDescent="0.2">
      <c r="B67" s="63" t="s">
        <v>30</v>
      </c>
      <c r="C67" s="63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</row>
    <row r="68" spans="2:14" x14ac:dyDescent="0.2"/>
    <row r="69" spans="2:14" x14ac:dyDescent="0.2">
      <c r="B69" t="s">
        <v>68</v>
      </c>
      <c r="D69" s="12">
        <f>N44</f>
        <v>306.72040395260115</v>
      </c>
    </row>
    <row r="70" spans="2:14" x14ac:dyDescent="0.2">
      <c r="B70" t="s">
        <v>31</v>
      </c>
      <c r="D70" s="25">
        <v>1.4999999999999999E-2</v>
      </c>
    </row>
    <row r="71" spans="2:14" x14ac:dyDescent="0.2">
      <c r="B71" s="5" t="s">
        <v>69</v>
      </c>
      <c r="C71" s="5"/>
      <c r="D71" s="13">
        <f>D69*(1+D70)</f>
        <v>311.32121001189012</v>
      </c>
    </row>
    <row r="72" spans="2:14" x14ac:dyDescent="0.2">
      <c r="B72" t="str">
        <f>B65</f>
        <v xml:space="preserve">Cost of equity </v>
      </c>
      <c r="D72" s="7">
        <f>D65</f>
        <v>7.9500000000000001E-2</v>
      </c>
    </row>
    <row r="73" spans="2:14" x14ac:dyDescent="0.2">
      <c r="B73" t="str">
        <f>B70</f>
        <v xml:space="preserve">Terminal growth rate </v>
      </c>
      <c r="D73" s="17">
        <f>D70</f>
        <v>1.4999999999999999E-2</v>
      </c>
    </row>
    <row r="74" spans="2:14" x14ac:dyDescent="0.2">
      <c r="B74" s="6" t="s">
        <v>32</v>
      </c>
      <c r="C74" s="6"/>
      <c r="D74" s="19">
        <f>D71/(D72-D73)</f>
        <v>4826.685426540932</v>
      </c>
    </row>
    <row r="75" spans="2:14" x14ac:dyDescent="0.2"/>
    <row r="76" spans="2:14" x14ac:dyDescent="0.2">
      <c r="B76" s="63" t="s">
        <v>79</v>
      </c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</row>
    <row r="77" spans="2:14" x14ac:dyDescent="0.2"/>
    <row r="78" spans="2:14" x14ac:dyDescent="0.2">
      <c r="B78" s="63" t="s">
        <v>54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</row>
    <row r="79" spans="2:14" x14ac:dyDescent="0.2"/>
    <row r="80" spans="2:14" x14ac:dyDescent="0.2">
      <c r="B80" t="s">
        <v>52</v>
      </c>
      <c r="D80" s="2"/>
      <c r="E80" s="12">
        <f>D83</f>
        <v>700</v>
      </c>
      <c r="F80" s="12">
        <f t="shared" ref="F80:N80" si="42">E83</f>
        <v>728.32375000000002</v>
      </c>
      <c r="G80" s="12">
        <f t="shared" si="42"/>
        <v>754.73953749999998</v>
      </c>
      <c r="H80" s="12">
        <f t="shared" si="42"/>
        <v>779.02031729687508</v>
      </c>
      <c r="I80" s="12">
        <f t="shared" si="42"/>
        <v>800.94619406687502</v>
      </c>
      <c r="J80" s="12">
        <f t="shared" si="42"/>
        <v>820.30691455069723</v>
      </c>
      <c r="K80" s="12">
        <f t="shared" si="42"/>
        <v>836.90433220182854</v>
      </c>
      <c r="L80" s="12">
        <f t="shared" si="42"/>
        <v>850.554806186316</v>
      </c>
      <c r="M80" s="12">
        <f t="shared" si="42"/>
        <v>861.09149637542305</v>
      </c>
      <c r="N80" s="12">
        <f t="shared" si="42"/>
        <v>868.36651648545558</v>
      </c>
    </row>
    <row r="81" spans="2:14" x14ac:dyDescent="0.2">
      <c r="B81" t="s">
        <v>35</v>
      </c>
      <c r="D81" s="3"/>
      <c r="E81" s="12">
        <f t="shared" ref="E81:N81" si="43">E33*-1</f>
        <v>59.448749999999997</v>
      </c>
      <c r="F81" s="12">
        <f t="shared" si="43"/>
        <v>58.630162500000004</v>
      </c>
      <c r="G81" s="12">
        <f t="shared" si="43"/>
        <v>57.542121984375008</v>
      </c>
      <c r="H81" s="12">
        <f t="shared" si="43"/>
        <v>56.185059223125009</v>
      </c>
      <c r="I81" s="12">
        <f t="shared" si="43"/>
        <v>54.562030454408209</v>
      </c>
      <c r="J81" s="12">
        <f t="shared" si="43"/>
        <v>52.67876037098187</v>
      </c>
      <c r="K81" s="12">
        <f t="shared" si="43"/>
        <v>50.543646915534708</v>
      </c>
      <c r="L81" s="12">
        <f t="shared" si="43"/>
        <v>48.167726578775266</v>
      </c>
      <c r="M81" s="12">
        <f t="shared" si="43"/>
        <v>45.564599636519972</v>
      </c>
      <c r="N81" s="12">
        <f t="shared" si="43"/>
        <v>42.750315541323154</v>
      </c>
    </row>
    <row r="82" spans="2:14" x14ac:dyDescent="0.2">
      <c r="B82" t="s">
        <v>36</v>
      </c>
      <c r="D82" s="1"/>
      <c r="E82" s="12">
        <f t="shared" ref="E82:N82" si="44">E12</f>
        <v>-31.125</v>
      </c>
      <c r="F82" s="12">
        <f t="shared" si="44"/>
        <v>-32.214375000000004</v>
      </c>
      <c r="G82" s="12">
        <f t="shared" si="44"/>
        <v>-33.261342187500006</v>
      </c>
      <c r="H82" s="12">
        <f t="shared" si="44"/>
        <v>-34.259182453125007</v>
      </c>
      <c r="I82" s="12">
        <f t="shared" si="44"/>
        <v>-35.201309970585946</v>
      </c>
      <c r="J82" s="12">
        <f t="shared" si="44"/>
        <v>-36.081342719850596</v>
      </c>
      <c r="K82" s="12">
        <f t="shared" si="44"/>
        <v>-36.893172931047232</v>
      </c>
      <c r="L82" s="12">
        <f t="shared" si="44"/>
        <v>-37.631036389668175</v>
      </c>
      <c r="M82" s="12">
        <f t="shared" si="44"/>
        <v>-38.289579526487373</v>
      </c>
      <c r="N82" s="12">
        <f t="shared" si="44"/>
        <v>-38.863923219384681</v>
      </c>
    </row>
    <row r="83" spans="2:14" x14ac:dyDescent="0.2">
      <c r="B83" s="5" t="s">
        <v>53</v>
      </c>
      <c r="C83" s="5"/>
      <c r="D83" s="37">
        <v>700</v>
      </c>
      <c r="E83" s="13">
        <f>SUM(E80:E82)</f>
        <v>728.32375000000002</v>
      </c>
      <c r="F83" s="13">
        <f t="shared" ref="F83:N83" si="45">SUM(F80:F82)</f>
        <v>754.73953749999998</v>
      </c>
      <c r="G83" s="13">
        <f t="shared" si="45"/>
        <v>779.02031729687508</v>
      </c>
      <c r="H83" s="13">
        <f t="shared" si="45"/>
        <v>800.94619406687502</v>
      </c>
      <c r="I83" s="13">
        <f t="shared" si="45"/>
        <v>820.30691455069723</v>
      </c>
      <c r="J83" s="13">
        <f t="shared" si="45"/>
        <v>836.90433220182854</v>
      </c>
      <c r="K83" s="13">
        <f t="shared" si="45"/>
        <v>850.554806186316</v>
      </c>
      <c r="L83" s="13">
        <f t="shared" si="45"/>
        <v>861.09149637542305</v>
      </c>
      <c r="M83" s="13">
        <f t="shared" si="45"/>
        <v>868.36651648545558</v>
      </c>
      <c r="N83" s="13">
        <f t="shared" si="45"/>
        <v>872.25290880739408</v>
      </c>
    </row>
    <row r="84" spans="2:14" x14ac:dyDescent="0.2">
      <c r="D84" s="28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2:14" x14ac:dyDescent="0.2">
      <c r="B85" t="str">
        <f>B23</f>
        <v>Inventories</v>
      </c>
      <c r="D85" s="14">
        <f t="shared" ref="D85:N85" si="46">D23</f>
        <v>309.86301369863014</v>
      </c>
      <c r="E85" s="12">
        <f t="shared" si="46"/>
        <v>323.41859589041093</v>
      </c>
      <c r="F85" s="12">
        <f t="shared" si="46"/>
        <v>336.74760000000015</v>
      </c>
      <c r="G85" s="12">
        <f t="shared" si="46"/>
        <v>349.77262936515416</v>
      </c>
      <c r="H85" s="12">
        <f t="shared" si="46"/>
        <v>362.4152199671405</v>
      </c>
      <c r="I85" s="12">
        <f t="shared" si="46"/>
        <v>374.59658852260532</v>
      </c>
      <c r="J85" s="12">
        <f t="shared" si="46"/>
        <v>386.23841719178154</v>
      </c>
      <c r="K85" s="12">
        <f t="shared" si="46"/>
        <v>397.26366457779437</v>
      </c>
      <c r="L85" s="12">
        <f t="shared" si="46"/>
        <v>407.59739177718762</v>
      </c>
      <c r="M85" s="12">
        <f t="shared" si="46"/>
        <v>417.16759151502015</v>
      </c>
      <c r="N85" s="12">
        <f t="shared" si="46"/>
        <v>425.90600788366777</v>
      </c>
    </row>
    <row r="86" spans="2:14" x14ac:dyDescent="0.2">
      <c r="B86" t="str">
        <f>B26</f>
        <v xml:space="preserve">Receivables </v>
      </c>
      <c r="D86" s="14">
        <f t="shared" ref="D86:N86" si="47">D26</f>
        <v>232.8767123287671</v>
      </c>
      <c r="E86" s="12">
        <f t="shared" si="47"/>
        <v>243.03082191780823</v>
      </c>
      <c r="F86" s="12">
        <f t="shared" si="47"/>
        <v>253.00787671232882</v>
      </c>
      <c r="G86" s="12">
        <f t="shared" si="47"/>
        <v>262.7494154537672</v>
      </c>
      <c r="H86" s="12">
        <f t="shared" si="47"/>
        <v>272.19624414811648</v>
      </c>
      <c r="I86" s="12">
        <f t="shared" si="47"/>
        <v>281.28900661427127</v>
      </c>
      <c r="J86" s="12">
        <f t="shared" si="47"/>
        <v>289.96878167551165</v>
      </c>
      <c r="K86" s="12">
        <f t="shared" si="47"/>
        <v>298.17769903175162</v>
      </c>
      <c r="L86" s="12">
        <f t="shared" si="47"/>
        <v>305.85956517629842</v>
      </c>
      <c r="M86" s="12">
        <f t="shared" si="47"/>
        <v>312.96049019366393</v>
      </c>
      <c r="N86" s="12">
        <f t="shared" si="47"/>
        <v>319.42950591275081</v>
      </c>
    </row>
    <row r="87" spans="2:14" x14ac:dyDescent="0.2">
      <c r="B87" t="str">
        <f>B29</f>
        <v xml:space="preserve">Payables </v>
      </c>
      <c r="D87" s="14">
        <f t="shared" ref="D87:N87" si="48">D29*-1</f>
        <v>-235.06849315068493</v>
      </c>
      <c r="E87" s="12">
        <f t="shared" si="48"/>
        <v>-243.39750000000001</v>
      </c>
      <c r="F87" s="12">
        <f t="shared" si="48"/>
        <v>-251.40745479452062</v>
      </c>
      <c r="G87" s="12">
        <f t="shared" si="48"/>
        <v>-259.0466231134418</v>
      </c>
      <c r="H87" s="12">
        <f t="shared" si="48"/>
        <v>-266.26424324116448</v>
      </c>
      <c r="I87" s="12">
        <f t="shared" si="48"/>
        <v>-273.01107299105138</v>
      </c>
      <c r="J87" s="12">
        <f t="shared" si="48"/>
        <v>-279.23993675351772</v>
      </c>
      <c r="K87" s="12">
        <f t="shared" si="48"/>
        <v>-284.90626449518589</v>
      </c>
      <c r="L87" s="12">
        <f t="shared" si="48"/>
        <v>-289.9686142844422</v>
      </c>
      <c r="M87" s="12">
        <f t="shared" si="48"/>
        <v>-294.38916993200417</v>
      </c>
      <c r="N87" s="12">
        <f t="shared" si="48"/>
        <v>-298.13420551856746</v>
      </c>
    </row>
    <row r="88" spans="2:14" x14ac:dyDescent="0.2">
      <c r="B88" s="5" t="s">
        <v>8</v>
      </c>
      <c r="C88" s="5"/>
      <c r="D88" s="15">
        <f>SUM(D85:D87)</f>
        <v>307.67123287671222</v>
      </c>
      <c r="E88" s="13">
        <f t="shared" ref="E88:N88" si="49">SUM(E85:E87)</f>
        <v>323.05191780821906</v>
      </c>
      <c r="F88" s="13">
        <f t="shared" si="49"/>
        <v>338.34802191780841</v>
      </c>
      <c r="G88" s="13">
        <f t="shared" si="49"/>
        <v>353.47542170547956</v>
      </c>
      <c r="H88" s="13">
        <f t="shared" si="49"/>
        <v>368.34722087409244</v>
      </c>
      <c r="I88" s="13">
        <f t="shared" si="49"/>
        <v>382.87452214582527</v>
      </c>
      <c r="J88" s="13">
        <f t="shared" si="49"/>
        <v>396.96726211377546</v>
      </c>
      <c r="K88" s="13">
        <f t="shared" si="49"/>
        <v>410.53509911436009</v>
      </c>
      <c r="L88" s="13">
        <f t="shared" si="49"/>
        <v>423.48834266904385</v>
      </c>
      <c r="M88" s="13">
        <f t="shared" si="49"/>
        <v>435.73891177667986</v>
      </c>
      <c r="N88" s="13">
        <f t="shared" si="49"/>
        <v>447.20130827785113</v>
      </c>
    </row>
    <row r="89" spans="2:14" x14ac:dyDescent="0.2">
      <c r="D89" s="38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2:14" x14ac:dyDescent="0.2">
      <c r="B90" s="5" t="s">
        <v>54</v>
      </c>
      <c r="C90" s="5"/>
      <c r="D90" s="15">
        <f>D83+D88</f>
        <v>1007.6712328767122</v>
      </c>
      <c r="E90" s="13">
        <f t="shared" ref="E90:N90" si="50">E83+E88</f>
        <v>1051.3756678082191</v>
      </c>
      <c r="F90" s="13">
        <f t="shared" si="50"/>
        <v>1093.0875594178083</v>
      </c>
      <c r="G90" s="13">
        <f t="shared" si="50"/>
        <v>1132.4957390023546</v>
      </c>
      <c r="H90" s="13">
        <f t="shared" si="50"/>
        <v>1169.2934149409675</v>
      </c>
      <c r="I90" s="13">
        <f t="shared" si="50"/>
        <v>1203.1814366965225</v>
      </c>
      <c r="J90" s="13">
        <f t="shared" si="50"/>
        <v>1233.8715943156039</v>
      </c>
      <c r="K90" s="13">
        <f t="shared" si="50"/>
        <v>1261.089905300676</v>
      </c>
      <c r="L90" s="13">
        <f t="shared" si="50"/>
        <v>1284.579839044467</v>
      </c>
      <c r="M90" s="13">
        <f t="shared" si="50"/>
        <v>1304.1054282621353</v>
      </c>
      <c r="N90" s="13">
        <f t="shared" si="50"/>
        <v>1319.4542170852451</v>
      </c>
    </row>
    <row r="91" spans="2:14" x14ac:dyDescent="0.2">
      <c r="D91" s="4"/>
    </row>
    <row r="92" spans="2:14" x14ac:dyDescent="0.2">
      <c r="B92" s="63" t="s">
        <v>55</v>
      </c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</row>
    <row r="93" spans="2:14" x14ac:dyDescent="0.2"/>
    <row r="94" spans="2:14" x14ac:dyDescent="0.2">
      <c r="B94" t="str">
        <f>B20</f>
        <v>Net income</v>
      </c>
      <c r="D94" s="14">
        <f t="shared" ref="D94:N94" si="51">D20</f>
        <v>273.15500000000003</v>
      </c>
      <c r="E94" s="12">
        <f t="shared" si="51"/>
        <v>280.8733473567429</v>
      </c>
      <c r="F94" s="12">
        <f t="shared" si="51"/>
        <v>288.0764279654872</v>
      </c>
      <c r="G94" s="12">
        <f t="shared" si="51"/>
        <v>294.71154588269525</v>
      </c>
      <c r="H94" s="12">
        <f t="shared" si="51"/>
        <v>300.72891178103646</v>
      </c>
      <c r="I94" s="12">
        <f t="shared" si="51"/>
        <v>306.08224934085064</v>
      </c>
      <c r="J94" s="12">
        <f t="shared" si="51"/>
        <v>310.72937402814966</v>
      </c>
      <c r="K94" s="12">
        <f t="shared" si="51"/>
        <v>314.63273437821914</v>
      </c>
      <c r="L94" s="12">
        <f t="shared" si="51"/>
        <v>317.75990628509032</v>
      </c>
      <c r="M94" s="12">
        <f t="shared" si="51"/>
        <v>320.08403138759081</v>
      </c>
      <c r="N94" s="12">
        <f t="shared" si="51"/>
        <v>321.58419143504244</v>
      </c>
    </row>
    <row r="95" spans="2:14" x14ac:dyDescent="0.2">
      <c r="D95" s="14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2:14" x14ac:dyDescent="0.2">
      <c r="B96" t="str">
        <f>B90</f>
        <v>Net operating assets</v>
      </c>
      <c r="D96" s="14">
        <f t="shared" ref="D96:N96" si="52">D90</f>
        <v>1007.6712328767122</v>
      </c>
      <c r="E96" s="12">
        <f t="shared" si="52"/>
        <v>1051.3756678082191</v>
      </c>
      <c r="F96" s="12">
        <f t="shared" si="52"/>
        <v>1093.0875594178083</v>
      </c>
      <c r="G96" s="12">
        <f t="shared" si="52"/>
        <v>1132.4957390023546</v>
      </c>
      <c r="H96" s="12">
        <f t="shared" si="52"/>
        <v>1169.2934149409675</v>
      </c>
      <c r="I96" s="12">
        <f t="shared" si="52"/>
        <v>1203.1814366965225</v>
      </c>
      <c r="J96" s="12">
        <f t="shared" si="52"/>
        <v>1233.8715943156039</v>
      </c>
      <c r="K96" s="12">
        <f t="shared" si="52"/>
        <v>1261.089905300676</v>
      </c>
      <c r="L96" s="12">
        <f t="shared" si="52"/>
        <v>1284.579839044467</v>
      </c>
      <c r="M96" s="12">
        <f t="shared" si="52"/>
        <v>1304.1054282621353</v>
      </c>
      <c r="N96" s="12">
        <f t="shared" si="52"/>
        <v>1319.4542170852451</v>
      </c>
    </row>
    <row r="97" spans="2:14" x14ac:dyDescent="0.2">
      <c r="B97" t="str">
        <f>B41</f>
        <v>Debt</v>
      </c>
      <c r="D97" s="14">
        <f t="shared" ref="D97:N97" si="53">D41*-1</f>
        <v>-550</v>
      </c>
      <c r="E97" s="12">
        <f t="shared" si="53"/>
        <v>-563.17574999999988</v>
      </c>
      <c r="F97" s="12">
        <f t="shared" si="53"/>
        <v>-575.21987999999988</v>
      </c>
      <c r="G97" s="12">
        <f t="shared" si="53"/>
        <v>-586.04267511562512</v>
      </c>
      <c r="H97" s="12">
        <f t="shared" si="53"/>
        <v>-595.56162776512508</v>
      </c>
      <c r="I97" s="12">
        <f t="shared" si="53"/>
        <v>-603.70246599554889</v>
      </c>
      <c r="J97" s="12">
        <f t="shared" si="53"/>
        <v>-610.40010190595251</v>
      </c>
      <c r="K97" s="12">
        <f t="shared" si="53"/>
        <v>-615.59948352745414</v>
      </c>
      <c r="L97" s="12">
        <f t="shared" si="53"/>
        <v>-619.25633482837952</v>
      </c>
      <c r="M97" s="12">
        <f t="shared" si="53"/>
        <v>-621.33777016948613</v>
      </c>
      <c r="N97" s="12">
        <f t="shared" si="53"/>
        <v>-621.82277151015455</v>
      </c>
    </row>
    <row r="98" spans="2:14" x14ac:dyDescent="0.2">
      <c r="B98" s="5" t="s">
        <v>9</v>
      </c>
      <c r="C98" s="5"/>
      <c r="D98" s="15">
        <f>SUM(D96:D97)</f>
        <v>457.67123287671222</v>
      </c>
      <c r="E98" s="13">
        <f t="shared" ref="E98:N98" si="54">SUM(E96:E97)</f>
        <v>488.1999178082192</v>
      </c>
      <c r="F98" s="13">
        <f t="shared" si="54"/>
        <v>517.8676794178084</v>
      </c>
      <c r="G98" s="13">
        <f t="shared" si="54"/>
        <v>546.45306388672952</v>
      </c>
      <c r="H98" s="13">
        <f t="shared" si="54"/>
        <v>573.73178717584244</v>
      </c>
      <c r="I98" s="13">
        <f t="shared" si="54"/>
        <v>599.4789707009736</v>
      </c>
      <c r="J98" s="13">
        <f t="shared" si="54"/>
        <v>623.47149240965143</v>
      </c>
      <c r="K98" s="13">
        <f t="shared" si="54"/>
        <v>645.4904217732219</v>
      </c>
      <c r="L98" s="13">
        <f t="shared" si="54"/>
        <v>665.32350421608749</v>
      </c>
      <c r="M98" s="13">
        <f t="shared" si="54"/>
        <v>682.76765809264919</v>
      </c>
      <c r="N98" s="13">
        <f t="shared" si="54"/>
        <v>697.63144557509054</v>
      </c>
    </row>
    <row r="99" spans="2:14" x14ac:dyDescent="0.2">
      <c r="D99" s="14"/>
      <c r="E99" s="12"/>
      <c r="F99" s="12"/>
      <c r="G99" s="12"/>
      <c r="H99" s="12"/>
      <c r="I99" s="12"/>
      <c r="J99" s="12"/>
      <c r="K99" s="12"/>
      <c r="L99" s="12"/>
      <c r="M99" s="12"/>
      <c r="N99" s="12"/>
    </row>
    <row r="100" spans="2:14" x14ac:dyDescent="0.2">
      <c r="B100" s="6" t="s">
        <v>55</v>
      </c>
      <c r="C100" s="6"/>
      <c r="D100" s="39">
        <f t="shared" ref="D100:N100" si="55">D94/D98</f>
        <v>0.59683672553127831</v>
      </c>
      <c r="E100" s="29">
        <f t="shared" si="55"/>
        <v>0.57532444621811485</v>
      </c>
      <c r="F100" s="29">
        <f t="shared" si="55"/>
        <v>0.5562741978594713</v>
      </c>
      <c r="G100" s="29">
        <f t="shared" si="55"/>
        <v>0.53931721745050731</v>
      </c>
      <c r="H100" s="29">
        <f t="shared" si="55"/>
        <v>0.52416289022672957</v>
      </c>
      <c r="I100" s="29">
        <f t="shared" si="55"/>
        <v>0.51058046120107803</v>
      </c>
      <c r="J100" s="29">
        <f t="shared" si="55"/>
        <v>0.49838585694947091</v>
      </c>
      <c r="K100" s="29">
        <f t="shared" si="55"/>
        <v>0.48743207298706914</v>
      </c>
      <c r="L100" s="29">
        <f t="shared" si="55"/>
        <v>0.47760210524876706</v>
      </c>
      <c r="M100" s="29">
        <f t="shared" si="55"/>
        <v>0.46880373959388177</v>
      </c>
      <c r="N100" s="29">
        <f t="shared" si="55"/>
        <v>0.46096573409179603</v>
      </c>
    </row>
    <row r="101" spans="2:14" x14ac:dyDescent="0.2"/>
    <row r="102" spans="2:14" x14ac:dyDescent="0.2">
      <c r="B102" s="63" t="s">
        <v>60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</row>
    <row r="103" spans="2:14" x14ac:dyDescent="0.2"/>
    <row r="104" spans="2:14" x14ac:dyDescent="0.2">
      <c r="B104" t="str">
        <f>B20</f>
        <v>Net income</v>
      </c>
      <c r="D104" s="14">
        <f t="shared" ref="D104:N104" si="56">D20</f>
        <v>273.15500000000003</v>
      </c>
      <c r="E104" s="12">
        <f t="shared" si="56"/>
        <v>280.8733473567429</v>
      </c>
      <c r="F104" s="12">
        <f t="shared" si="56"/>
        <v>288.0764279654872</v>
      </c>
      <c r="G104" s="12">
        <f t="shared" si="56"/>
        <v>294.71154588269525</v>
      </c>
      <c r="H104" s="12">
        <f t="shared" si="56"/>
        <v>300.72891178103646</v>
      </c>
      <c r="I104" s="12">
        <f t="shared" si="56"/>
        <v>306.08224934085064</v>
      </c>
      <c r="J104" s="12">
        <f t="shared" si="56"/>
        <v>310.72937402814966</v>
      </c>
      <c r="K104" s="12">
        <f t="shared" si="56"/>
        <v>314.63273437821914</v>
      </c>
      <c r="L104" s="12">
        <f t="shared" si="56"/>
        <v>317.75990628509032</v>
      </c>
      <c r="M104" s="12">
        <f t="shared" si="56"/>
        <v>320.08403138759081</v>
      </c>
      <c r="N104" s="12">
        <f t="shared" si="56"/>
        <v>321.58419143504244</v>
      </c>
    </row>
    <row r="105" spans="2:14" x14ac:dyDescent="0.2">
      <c r="B105" s="12" t="str">
        <f>B7</f>
        <v>Sales</v>
      </c>
      <c r="D105" s="14">
        <f t="shared" ref="D105:N105" si="57">D7</f>
        <v>1000</v>
      </c>
      <c r="E105" s="12">
        <f t="shared" si="57"/>
        <v>1037.5</v>
      </c>
      <c r="F105" s="12">
        <f t="shared" si="57"/>
        <v>1073.8125000000002</v>
      </c>
      <c r="G105" s="12">
        <f t="shared" si="57"/>
        <v>1108.7114062500002</v>
      </c>
      <c r="H105" s="12">
        <f t="shared" si="57"/>
        <v>1141.9727484375003</v>
      </c>
      <c r="I105" s="12">
        <f t="shared" si="57"/>
        <v>1173.3769990195317</v>
      </c>
      <c r="J105" s="12">
        <f t="shared" si="57"/>
        <v>1202.7114239950199</v>
      </c>
      <c r="K105" s="12">
        <f t="shared" si="57"/>
        <v>1229.7724310349079</v>
      </c>
      <c r="L105" s="12">
        <f t="shared" si="57"/>
        <v>1254.367879655606</v>
      </c>
      <c r="M105" s="12">
        <f t="shared" si="57"/>
        <v>1276.3193175495792</v>
      </c>
      <c r="N105" s="12">
        <f t="shared" si="57"/>
        <v>1295.4641073128228</v>
      </c>
    </row>
    <row r="106" spans="2:14" x14ac:dyDescent="0.2">
      <c r="B106" s="5" t="s">
        <v>10</v>
      </c>
      <c r="C106" s="5"/>
      <c r="D106" s="40">
        <f>D104/D105</f>
        <v>0.27315500000000004</v>
      </c>
      <c r="E106" s="18">
        <f t="shared" ref="E106:N106" si="58">E104/E105</f>
        <v>0.27072129865710159</v>
      </c>
      <c r="F106" s="18">
        <f t="shared" si="58"/>
        <v>0.26827442217844094</v>
      </c>
      <c r="G106" s="18">
        <f t="shared" si="58"/>
        <v>0.26581447996417706</v>
      </c>
      <c r="H106" s="18">
        <f t="shared" si="58"/>
        <v>0.26334158340687869</v>
      </c>
      <c r="I106" s="18">
        <f t="shared" si="58"/>
        <v>0.26085584564603836</v>
      </c>
      <c r="J106" s="18">
        <f t="shared" si="58"/>
        <v>0.25835738135421277</v>
      </c>
      <c r="K106" s="18">
        <f t="shared" si="58"/>
        <v>0.25584630655075086</v>
      </c>
      <c r="L106" s="18">
        <f t="shared" si="58"/>
        <v>0.25332273843964592</v>
      </c>
      <c r="M106" s="18">
        <f t="shared" si="58"/>
        <v>0.25078679526854142</v>
      </c>
      <c r="N106" s="18">
        <f t="shared" si="58"/>
        <v>0.24823859620634611</v>
      </c>
    </row>
    <row r="107" spans="2:14" x14ac:dyDescent="0.2">
      <c r="D107" s="4"/>
    </row>
    <row r="108" spans="2:14" x14ac:dyDescent="0.2">
      <c r="B108" s="12" t="str">
        <f t="shared" ref="B108:N108" si="59">B105</f>
        <v>Sales</v>
      </c>
      <c r="D108" s="14">
        <f t="shared" si="59"/>
        <v>1000</v>
      </c>
      <c r="E108" s="12">
        <f t="shared" si="59"/>
        <v>1037.5</v>
      </c>
      <c r="F108" s="12">
        <f t="shared" si="59"/>
        <v>1073.8125000000002</v>
      </c>
      <c r="G108" s="12">
        <f t="shared" si="59"/>
        <v>1108.7114062500002</v>
      </c>
      <c r="H108" s="12">
        <f t="shared" si="59"/>
        <v>1141.9727484375003</v>
      </c>
      <c r="I108" s="12">
        <f t="shared" si="59"/>
        <v>1173.3769990195317</v>
      </c>
      <c r="J108" s="12">
        <f t="shared" si="59"/>
        <v>1202.7114239950199</v>
      </c>
      <c r="K108" s="12">
        <f t="shared" si="59"/>
        <v>1229.7724310349079</v>
      </c>
      <c r="L108" s="12">
        <f t="shared" si="59"/>
        <v>1254.367879655606</v>
      </c>
      <c r="M108" s="12">
        <f t="shared" si="59"/>
        <v>1276.3193175495792</v>
      </c>
      <c r="N108" s="12">
        <f t="shared" si="59"/>
        <v>1295.4641073128228</v>
      </c>
    </row>
    <row r="109" spans="2:14" x14ac:dyDescent="0.2">
      <c r="B109" t="str">
        <f>B96</f>
        <v>Net operating assets</v>
      </c>
      <c r="D109" s="14">
        <f t="shared" ref="D109:N109" si="60">D96</f>
        <v>1007.6712328767122</v>
      </c>
      <c r="E109" s="12">
        <f t="shared" si="60"/>
        <v>1051.3756678082191</v>
      </c>
      <c r="F109" s="12">
        <f t="shared" si="60"/>
        <v>1093.0875594178083</v>
      </c>
      <c r="G109" s="12">
        <f t="shared" si="60"/>
        <v>1132.4957390023546</v>
      </c>
      <c r="H109" s="12">
        <f t="shared" si="60"/>
        <v>1169.2934149409675</v>
      </c>
      <c r="I109" s="12">
        <f t="shared" si="60"/>
        <v>1203.1814366965225</v>
      </c>
      <c r="J109" s="12">
        <f t="shared" si="60"/>
        <v>1233.8715943156039</v>
      </c>
      <c r="K109" s="12">
        <f t="shared" si="60"/>
        <v>1261.089905300676</v>
      </c>
      <c r="L109" s="12">
        <f t="shared" si="60"/>
        <v>1284.579839044467</v>
      </c>
      <c r="M109" s="12">
        <f t="shared" si="60"/>
        <v>1304.1054282621353</v>
      </c>
      <c r="N109" s="12">
        <f t="shared" si="60"/>
        <v>1319.4542170852451</v>
      </c>
    </row>
    <row r="110" spans="2:14" x14ac:dyDescent="0.2">
      <c r="B110" s="44" t="s">
        <v>44</v>
      </c>
      <c r="C110" s="44"/>
      <c r="D110" s="46">
        <f>D108/D109</f>
        <v>0.99238716693855367</v>
      </c>
      <c r="E110" s="45">
        <f t="shared" ref="E110:N110" si="61">E108/E109</f>
        <v>0.98680236928333576</v>
      </c>
      <c r="F110" s="45">
        <f t="shared" si="61"/>
        <v>0.98236640857199564</v>
      </c>
      <c r="G110" s="45">
        <f t="shared" si="61"/>
        <v>0.97899830265736221</v>
      </c>
      <c r="H110" s="45">
        <f t="shared" si="61"/>
        <v>0.97663489235946266</v>
      </c>
      <c r="I110" s="45">
        <f t="shared" si="61"/>
        <v>0.97522864235769591</v>
      </c>
      <c r="J110" s="45">
        <f t="shared" si="61"/>
        <v>0.97474601857751031</v>
      </c>
      <c r="K110" s="45">
        <f t="shared" si="61"/>
        <v>0.97516634291168858</v>
      </c>
      <c r="L110" s="45">
        <f t="shared" si="61"/>
        <v>0.9764810574862095</v>
      </c>
      <c r="M110" s="45">
        <f t="shared" si="61"/>
        <v>0.97869335552909686</v>
      </c>
      <c r="N110" s="45">
        <f t="shared" si="61"/>
        <v>0.98181815673345763</v>
      </c>
    </row>
    <row r="111" spans="2:14" x14ac:dyDescent="0.2">
      <c r="D111" s="4"/>
    </row>
    <row r="112" spans="2:14" x14ac:dyDescent="0.2">
      <c r="B112" t="str">
        <f t="shared" ref="B112:N112" si="62">B109</f>
        <v>Net operating assets</v>
      </c>
      <c r="D112" s="14">
        <f t="shared" si="62"/>
        <v>1007.6712328767122</v>
      </c>
      <c r="E112" s="12">
        <f t="shared" si="62"/>
        <v>1051.3756678082191</v>
      </c>
      <c r="F112" s="12">
        <f t="shared" si="62"/>
        <v>1093.0875594178083</v>
      </c>
      <c r="G112" s="12">
        <f t="shared" si="62"/>
        <v>1132.4957390023546</v>
      </c>
      <c r="H112" s="12">
        <f t="shared" si="62"/>
        <v>1169.2934149409675</v>
      </c>
      <c r="I112" s="12">
        <f t="shared" si="62"/>
        <v>1203.1814366965225</v>
      </c>
      <c r="J112" s="12">
        <f t="shared" si="62"/>
        <v>1233.8715943156039</v>
      </c>
      <c r="K112" s="12">
        <f t="shared" si="62"/>
        <v>1261.089905300676</v>
      </c>
      <c r="L112" s="12">
        <f t="shared" si="62"/>
        <v>1284.579839044467</v>
      </c>
      <c r="M112" s="12">
        <f t="shared" si="62"/>
        <v>1304.1054282621353</v>
      </c>
      <c r="N112" s="12">
        <f t="shared" si="62"/>
        <v>1319.4542170852451</v>
      </c>
    </row>
    <row r="113" spans="2:14" x14ac:dyDescent="0.2">
      <c r="B113" t="str">
        <f>B98</f>
        <v>Equity</v>
      </c>
      <c r="D113" s="14">
        <f t="shared" ref="D113:N113" si="63">D98</f>
        <v>457.67123287671222</v>
      </c>
      <c r="E113" s="12">
        <f t="shared" si="63"/>
        <v>488.1999178082192</v>
      </c>
      <c r="F113" s="12">
        <f t="shared" si="63"/>
        <v>517.8676794178084</v>
      </c>
      <c r="G113" s="12">
        <f t="shared" si="63"/>
        <v>546.45306388672952</v>
      </c>
      <c r="H113" s="12">
        <f t="shared" si="63"/>
        <v>573.73178717584244</v>
      </c>
      <c r="I113" s="12">
        <f t="shared" si="63"/>
        <v>599.4789707009736</v>
      </c>
      <c r="J113" s="12">
        <f t="shared" si="63"/>
        <v>623.47149240965143</v>
      </c>
      <c r="K113" s="12">
        <f t="shared" si="63"/>
        <v>645.4904217732219</v>
      </c>
      <c r="L113" s="12">
        <f t="shared" si="63"/>
        <v>665.32350421608749</v>
      </c>
      <c r="M113" s="12">
        <f t="shared" si="63"/>
        <v>682.76765809264919</v>
      </c>
      <c r="N113" s="12">
        <f t="shared" si="63"/>
        <v>697.63144557509054</v>
      </c>
    </row>
    <row r="114" spans="2:14" x14ac:dyDescent="0.2">
      <c r="B114" s="5" t="s">
        <v>45</v>
      </c>
      <c r="C114" s="5"/>
      <c r="D114" s="42">
        <f>D112/D113</f>
        <v>2.2017360071834782</v>
      </c>
      <c r="E114" s="30">
        <f t="shared" ref="E114:N114" si="64">E112/E113</f>
        <v>2.153576085240624</v>
      </c>
      <c r="F114" s="30">
        <f t="shared" si="64"/>
        <v>2.1107468236802638</v>
      </c>
      <c r="G114" s="30">
        <f t="shared" si="64"/>
        <v>2.0724483287682727</v>
      </c>
      <c r="H114" s="30">
        <f t="shared" si="64"/>
        <v>2.0380488602465947</v>
      </c>
      <c r="I114" s="30">
        <f t="shared" si="64"/>
        <v>2.0070452768170277</v>
      </c>
      <c r="J114" s="30">
        <f t="shared" si="64"/>
        <v>1.9790345017168638</v>
      </c>
      <c r="K114" s="30">
        <f t="shared" si="64"/>
        <v>1.9536926695772578</v>
      </c>
      <c r="L114" s="30">
        <f t="shared" si="64"/>
        <v>1.930759744551658</v>
      </c>
      <c r="M114" s="30">
        <f t="shared" si="64"/>
        <v>1.9100281227514921</v>
      </c>
      <c r="N114" s="30">
        <f t="shared" si="64"/>
        <v>1.891334207272662</v>
      </c>
    </row>
    <row r="115" spans="2:14" x14ac:dyDescent="0.2">
      <c r="D115" s="4"/>
    </row>
    <row r="116" spans="2:14" x14ac:dyDescent="0.2">
      <c r="B116" s="6" t="str">
        <f>B100</f>
        <v>Return on Equity (RoE)</v>
      </c>
      <c r="C116" s="6"/>
      <c r="D116" s="39">
        <f>D106*D110*D114</f>
        <v>0.5968367255312782</v>
      </c>
      <c r="E116" s="29">
        <f t="shared" ref="E116:N116" si="65">E106*E110*E114</f>
        <v>0.57532444621811485</v>
      </c>
      <c r="F116" s="29">
        <f t="shared" si="65"/>
        <v>0.55627419785947119</v>
      </c>
      <c r="G116" s="29">
        <f t="shared" si="65"/>
        <v>0.53931721745050742</v>
      </c>
      <c r="H116" s="29">
        <f t="shared" si="65"/>
        <v>0.52416289022672957</v>
      </c>
      <c r="I116" s="29">
        <f t="shared" si="65"/>
        <v>0.51058046120107803</v>
      </c>
      <c r="J116" s="29">
        <f t="shared" si="65"/>
        <v>0.49838585694947091</v>
      </c>
      <c r="K116" s="29">
        <f t="shared" si="65"/>
        <v>0.48743207298706914</v>
      </c>
      <c r="L116" s="29">
        <f t="shared" si="65"/>
        <v>0.47760210524876701</v>
      </c>
      <c r="M116" s="29">
        <f t="shared" si="65"/>
        <v>0.46880373959388172</v>
      </c>
      <c r="N116" s="29">
        <f t="shared" si="65"/>
        <v>0.46096573409179603</v>
      </c>
    </row>
    <row r="117" spans="2:14" x14ac:dyDescent="0.2">
      <c r="D117" s="4"/>
    </row>
    <row r="118" spans="2:14" x14ac:dyDescent="0.2">
      <c r="B118" t="s">
        <v>4</v>
      </c>
      <c r="D118" s="41">
        <f t="shared" ref="D118:N118" si="66">ROUND(D100-D116,5)</f>
        <v>0</v>
      </c>
      <c r="E118" s="16">
        <f t="shared" si="66"/>
        <v>0</v>
      </c>
      <c r="F118" s="16">
        <f t="shared" si="66"/>
        <v>0</v>
      </c>
      <c r="G118" s="16">
        <f t="shared" si="66"/>
        <v>0</v>
      </c>
      <c r="H118" s="16">
        <f t="shared" si="66"/>
        <v>0</v>
      </c>
      <c r="I118" s="16">
        <f t="shared" si="66"/>
        <v>0</v>
      </c>
      <c r="J118" s="16">
        <f t="shared" si="66"/>
        <v>0</v>
      </c>
      <c r="K118" s="16">
        <f t="shared" si="66"/>
        <v>0</v>
      </c>
      <c r="L118" s="16">
        <f t="shared" si="66"/>
        <v>0</v>
      </c>
      <c r="M118" s="16">
        <f t="shared" si="66"/>
        <v>0</v>
      </c>
      <c r="N118" s="16">
        <f t="shared" si="66"/>
        <v>0</v>
      </c>
    </row>
    <row r="119" spans="2:14" x14ac:dyDescent="0.2"/>
  </sheetData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About</vt:lpstr>
      <vt:lpstr>TVB, Sec. F, Chs. 26-7</vt:lpstr>
    </vt:vector>
  </TitlesOfParts>
  <Company>UBS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Bancroft, Helen-XT</dc:creator>
  <cp:lastModifiedBy>Neil Pande</cp:lastModifiedBy>
  <cp:lastPrinted>2022-11-04T09:21:48Z</cp:lastPrinted>
  <dcterms:created xsi:type="dcterms:W3CDTF">2020-09-11T11:42:01Z</dcterms:created>
  <dcterms:modified xsi:type="dcterms:W3CDTF">2024-12-17T11:55:05Z</dcterms:modified>
</cp:coreProperties>
</file>